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updateLinks="never" codeName="ThisWorkbook"/>
  <mc:AlternateContent xmlns:mc="http://schemas.openxmlformats.org/markup-compatibility/2006">
    <mc:Choice Requires="x15">
      <x15ac:absPath xmlns:x15ac="http://schemas.microsoft.com/office/spreadsheetml/2010/11/ac" url="G:\Develop Louisville - HCD\Rental Housing Production &amp; Preservation\Underwriting Proformas\"/>
    </mc:Choice>
  </mc:AlternateContent>
  <xr:revisionPtr revIDLastSave="0" documentId="13_ncr:1_{0CA93D21-3934-4E89-8966-9D8DCDDB3361}" xr6:coauthVersionLast="47" xr6:coauthVersionMax="47" xr10:uidLastSave="{00000000-0000-0000-0000-000000000000}"/>
  <bookViews>
    <workbookView xWindow="-108" yWindow="-108" windowWidth="23256" windowHeight="12456" tabRatio="842" activeTab="1" xr2:uid="{00000000-000D-0000-FFFF-FFFF00000000}"/>
  </bookViews>
  <sheets>
    <sheet name="Instructions" sheetId="5" r:id="rId1"/>
    <sheet name="0)UnderwritingCriteria" sheetId="17" r:id="rId2"/>
    <sheet name="1)Summary" sheetId="16" r:id="rId3"/>
    <sheet name="2)Sources &amp; Uses" sheetId="4" r:id="rId4"/>
    <sheet name="3)Income" sheetId="8" r:id="rId5"/>
    <sheet name="4)Expenses" sheetId="6" r:id="rId6"/>
    <sheet name="5)Operating Proforma" sheetId="10" r:id="rId7"/>
    <sheet name="6)Compliance Checks" sheetId="11" r:id="rId8"/>
    <sheet name="Monitoring Fee Calculator" sheetId="22" r:id="rId9"/>
    <sheet name="7)Housing Credits" sheetId="21" r:id="rId10"/>
    <sheet name="MBEetc" sheetId="20" r:id="rId11"/>
  </sheets>
  <externalReferences>
    <externalReference r:id="rId12"/>
  </externalReferences>
  <definedNames>
    <definedName name="Applicant">'1)Summary'!$D$3:$E$3</definedName>
    <definedName name="Construction">'1)Summary'!$I$5</definedName>
    <definedName name="DDF">'2)Sources &amp; Uses'!$F$23</definedName>
    <definedName name="name">'1)Summary'!$A$1</definedName>
    <definedName name="Owner">'1)Summary'!$D$3</definedName>
    <definedName name="_xlnm.Print_Area" localSheetId="1">'0)UnderwritingCriteria'!$A$1:$J$45</definedName>
    <definedName name="_xlnm.Print_Area" localSheetId="2">'1)Summary'!$A$1:$K$93</definedName>
    <definedName name="_xlnm.Print_Area" localSheetId="3">'2)Sources &amp; Uses'!$A$1:$L$173</definedName>
    <definedName name="_xlnm.Print_Area" localSheetId="4">'3)Income'!$A$1:$X$100</definedName>
    <definedName name="_xlnm.Print_Area" localSheetId="5">'4)Expenses'!$A$1:$G$58</definedName>
    <definedName name="_xlnm.Print_Area" localSheetId="6">'5)Operating Proforma'!$A$1:$X$57</definedName>
    <definedName name="_xlnm.Print_Area" localSheetId="7">'6)Compliance Checks'!$A$1:$E$77</definedName>
    <definedName name="_xlnm.Print_Area" localSheetId="9">'7)Housing Credits'!$B$1:$F$37</definedName>
    <definedName name="_xlnm.Print_Area" localSheetId="0">Instructions!$A$1:$C$56</definedName>
    <definedName name="_xlnm.Print_Area" localSheetId="10">MBEetc!$A$1:$G$38</definedName>
    <definedName name="_xlnm.Print_Titles" localSheetId="6">'5)Operating Proforma'!$A:$D</definedName>
    <definedName name="Project">'1)Summary'!$D$4</definedName>
    <definedName name="ResSqFt">'3)Income'!$D$77</definedName>
    <definedName name="TDC">'2)Sources &amp; Uses'!$E$159</definedName>
    <definedName name="TotalOperating">'4)Expenses'!$C$48</definedName>
    <definedName name="TotalSqFt">'3)Income'!$D$80</definedName>
    <definedName name="Units">'1)Summary'!$I$12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0" l="1"/>
  <c r="E49" i="11" l="1"/>
  <c r="C48" i="11"/>
  <c r="D39" i="16" l="1"/>
  <c r="D41" i="16"/>
  <c r="D40" i="16"/>
  <c r="D38" i="16"/>
  <c r="D38" i="11"/>
  <c r="E161" i="4"/>
  <c r="B34" i="10"/>
  <c r="E34" i="10"/>
  <c r="F34" i="10" s="1"/>
  <c r="G34" i="10" s="1"/>
  <c r="H34" i="10" s="1"/>
  <c r="I34" i="10" s="1"/>
  <c r="J34" i="10" s="1"/>
  <c r="K34" i="10" s="1"/>
  <c r="L34" i="10" s="1"/>
  <c r="M34" i="10" s="1"/>
  <c r="N34" i="10" s="1"/>
  <c r="O34" i="10" s="1"/>
  <c r="P34" i="10" s="1"/>
  <c r="Q34" i="10" s="1"/>
  <c r="R34" i="10" s="1"/>
  <c r="S34" i="10" s="1"/>
  <c r="T34" i="10" s="1"/>
  <c r="U34" i="10" s="1"/>
  <c r="V34" i="10" s="1"/>
  <c r="W34" i="10" s="1"/>
  <c r="X34" i="10" s="1"/>
  <c r="B35" i="10"/>
  <c r="E35" i="10"/>
  <c r="F35" i="10" s="1"/>
  <c r="G35" i="10" s="1"/>
  <c r="H35" i="10" s="1"/>
  <c r="I35" i="10" s="1"/>
  <c r="J35" i="10" s="1"/>
  <c r="K35" i="10" s="1"/>
  <c r="L35" i="10" s="1"/>
  <c r="M35" i="10" s="1"/>
  <c r="N35" i="10" s="1"/>
  <c r="O35" i="10" s="1"/>
  <c r="P35" i="10" s="1"/>
  <c r="Q35" i="10" s="1"/>
  <c r="R35" i="10" s="1"/>
  <c r="S35" i="10" s="1"/>
  <c r="T35" i="10" s="1"/>
  <c r="U35" i="10" s="1"/>
  <c r="V35" i="10" s="1"/>
  <c r="W35" i="10" s="1"/>
  <c r="X35" i="10" s="1"/>
  <c r="B36" i="10"/>
  <c r="E36" i="10"/>
  <c r="F36" i="10" s="1"/>
  <c r="G36" i="10" s="1"/>
  <c r="H36" i="10" s="1"/>
  <c r="I36" i="10" s="1"/>
  <c r="J36" i="10" s="1"/>
  <c r="K36" i="10" s="1"/>
  <c r="L36" i="10" s="1"/>
  <c r="M36" i="10" s="1"/>
  <c r="N36" i="10" s="1"/>
  <c r="O36" i="10" s="1"/>
  <c r="P36" i="10" s="1"/>
  <c r="Q36" i="10" s="1"/>
  <c r="R36" i="10" s="1"/>
  <c r="S36" i="10" s="1"/>
  <c r="T36" i="10" s="1"/>
  <c r="U36" i="10" s="1"/>
  <c r="V36" i="10" s="1"/>
  <c r="W36" i="10" s="1"/>
  <c r="X36" i="10" s="1"/>
  <c r="E29" i="10"/>
  <c r="F29" i="10" s="1"/>
  <c r="G29" i="10" s="1"/>
  <c r="H29" i="10" s="1"/>
  <c r="I29" i="10" s="1"/>
  <c r="J29" i="10" s="1"/>
  <c r="K29" i="10" s="1"/>
  <c r="L29" i="10" s="1"/>
  <c r="M29" i="10" s="1"/>
  <c r="N29" i="10" s="1"/>
  <c r="O29" i="10" s="1"/>
  <c r="P29" i="10" s="1"/>
  <c r="Q29" i="10" s="1"/>
  <c r="R29" i="10" s="1"/>
  <c r="S29" i="10" s="1"/>
  <c r="T29" i="10" s="1"/>
  <c r="U29" i="10" s="1"/>
  <c r="V29" i="10" s="1"/>
  <c r="W29" i="10" s="1"/>
  <c r="X29" i="10" s="1"/>
  <c r="E30" i="10"/>
  <c r="F30" i="10" s="1"/>
  <c r="G30" i="10" s="1"/>
  <c r="H30" i="10" s="1"/>
  <c r="I30" i="10" s="1"/>
  <c r="J30" i="10" s="1"/>
  <c r="K30" i="10" s="1"/>
  <c r="L30" i="10" s="1"/>
  <c r="M30" i="10" s="1"/>
  <c r="N30" i="10" s="1"/>
  <c r="O30" i="10" s="1"/>
  <c r="P30" i="10" s="1"/>
  <c r="Q30" i="10" s="1"/>
  <c r="R30" i="10" s="1"/>
  <c r="S30" i="10" s="1"/>
  <c r="T30" i="10" s="1"/>
  <c r="U30" i="10" s="1"/>
  <c r="V30" i="10" s="1"/>
  <c r="W30" i="10" s="1"/>
  <c r="X30" i="10" s="1"/>
  <c r="E31" i="10"/>
  <c r="F31" i="10" s="1"/>
  <c r="G31" i="10" s="1"/>
  <c r="H31" i="10" s="1"/>
  <c r="I31" i="10" s="1"/>
  <c r="J31" i="10" s="1"/>
  <c r="K31" i="10" s="1"/>
  <c r="L31" i="10" s="1"/>
  <c r="M31" i="10" s="1"/>
  <c r="N31" i="10" s="1"/>
  <c r="O31" i="10" s="1"/>
  <c r="P31" i="10" s="1"/>
  <c r="Q31" i="10" s="1"/>
  <c r="R31" i="10" s="1"/>
  <c r="S31" i="10" s="1"/>
  <c r="T31" i="10" s="1"/>
  <c r="U31" i="10" s="1"/>
  <c r="V31" i="10" s="1"/>
  <c r="W31" i="10" s="1"/>
  <c r="X31" i="10" s="1"/>
  <c r="B29" i="10"/>
  <c r="B30" i="10"/>
  <c r="B31" i="10"/>
  <c r="K13" i="4" l="1"/>
  <c r="G13" i="4"/>
  <c r="K14" i="4"/>
  <c r="K15" i="4"/>
  <c r="G14" i="4"/>
  <c r="E6" i="4"/>
  <c r="H4" i="4"/>
  <c r="D5" i="16"/>
  <c r="E5" i="4"/>
  <c r="B7" i="22" l="1"/>
  <c r="C24" i="22" l="1"/>
  <c r="E25" i="22" l="1"/>
  <c r="E24" i="22"/>
  <c r="E15" i="22"/>
  <c r="E14" i="22"/>
  <c r="E13" i="22"/>
  <c r="E12" i="22"/>
  <c r="E16" i="22" l="1"/>
  <c r="F33" i="8" l="1"/>
  <c r="C49" i="10" l="1"/>
  <c r="D44" i="16" l="1"/>
  <c r="F17" i="17"/>
  <c r="I19" i="17" s="1"/>
  <c r="I2" i="10"/>
  <c r="E44" i="4"/>
  <c r="C14" i="21"/>
  <c r="D39" i="11"/>
  <c r="C16" i="21"/>
  <c r="C31" i="21"/>
  <c r="B40" i="21"/>
  <c r="I11" i="17"/>
  <c r="I10" i="17"/>
  <c r="I8" i="17"/>
  <c r="I7" i="17"/>
  <c r="I15" i="17"/>
  <c r="I16" i="17"/>
  <c r="I14" i="17"/>
  <c r="I13" i="17"/>
  <c r="J43" i="16"/>
  <c r="J46" i="16" s="1"/>
  <c r="J48" i="16" s="1"/>
  <c r="D73" i="11"/>
  <c r="D72" i="11"/>
  <c r="D71" i="11"/>
  <c r="D70" i="11"/>
  <c r="D69" i="11"/>
  <c r="D37" i="11"/>
  <c r="F32" i="8"/>
  <c r="E32" i="8"/>
  <c r="D32" i="8"/>
  <c r="F31" i="8"/>
  <c r="E31" i="8"/>
  <c r="D31" i="8"/>
  <c r="F30" i="8"/>
  <c r="E30" i="8"/>
  <c r="D30" i="8"/>
  <c r="F29" i="8"/>
  <c r="E29" i="8"/>
  <c r="X47" i="8" s="1"/>
  <c r="D29" i="8"/>
  <c r="F28" i="8"/>
  <c r="E28" i="8"/>
  <c r="D28" i="8"/>
  <c r="C36" i="20"/>
  <c r="G34" i="20"/>
  <c r="G30" i="20"/>
  <c r="G36" i="20" s="1"/>
  <c r="F30" i="20"/>
  <c r="F36" i="20" s="1"/>
  <c r="E30" i="20"/>
  <c r="E36" i="20" s="1"/>
  <c r="C30" i="20"/>
  <c r="E34" i="20" s="1"/>
  <c r="L20" i="4"/>
  <c r="X72" i="8"/>
  <c r="X71" i="8"/>
  <c r="X70" i="8"/>
  <c r="X69" i="8"/>
  <c r="X68" i="8"/>
  <c r="X65" i="8"/>
  <c r="X64" i="8"/>
  <c r="X63" i="8"/>
  <c r="X62" i="8"/>
  <c r="X61" i="8"/>
  <c r="X58" i="8"/>
  <c r="X57" i="8"/>
  <c r="X56" i="8"/>
  <c r="X55" i="8"/>
  <c r="X54" i="8"/>
  <c r="X51" i="8"/>
  <c r="X50" i="8"/>
  <c r="X49" i="8"/>
  <c r="X48" i="8"/>
  <c r="X44" i="8"/>
  <c r="X43" i="8"/>
  <c r="X42" i="8"/>
  <c r="X41" i="8"/>
  <c r="X40" i="8"/>
  <c r="A72" i="8"/>
  <c r="A71" i="8"/>
  <c r="A70" i="8"/>
  <c r="A69" i="8"/>
  <c r="A68" i="8"/>
  <c r="A65" i="8"/>
  <c r="A64" i="8"/>
  <c r="A63" i="8"/>
  <c r="A62" i="8"/>
  <c r="A61" i="8"/>
  <c r="A58" i="8"/>
  <c r="A57" i="8"/>
  <c r="A56" i="8"/>
  <c r="A55" i="8"/>
  <c r="A54" i="8"/>
  <c r="A51" i="8"/>
  <c r="A50" i="8"/>
  <c r="A49" i="8"/>
  <c r="A48" i="8"/>
  <c r="A47" i="8"/>
  <c r="A44" i="8"/>
  <c r="A43" i="8"/>
  <c r="A42" i="8"/>
  <c r="A41" i="8"/>
  <c r="A40" i="8"/>
  <c r="B72" i="8"/>
  <c r="B71" i="8"/>
  <c r="B70" i="8"/>
  <c r="B69" i="8"/>
  <c r="B68" i="8"/>
  <c r="B65" i="8"/>
  <c r="B64" i="8"/>
  <c r="B63" i="8"/>
  <c r="B62" i="8"/>
  <c r="B61" i="8"/>
  <c r="B58" i="8"/>
  <c r="B57" i="8"/>
  <c r="B56" i="8"/>
  <c r="B55" i="8"/>
  <c r="B54" i="8"/>
  <c r="B51" i="8"/>
  <c r="B50" i="8"/>
  <c r="B49" i="8"/>
  <c r="B48" i="8"/>
  <c r="B47" i="8"/>
  <c r="B44" i="8"/>
  <c r="B43" i="8"/>
  <c r="B42" i="8"/>
  <c r="B41" i="8"/>
  <c r="B40" i="8"/>
  <c r="K18" i="4"/>
  <c r="J37" i="16"/>
  <c r="H5" i="4"/>
  <c r="E141" i="4"/>
  <c r="E148" i="4"/>
  <c r="E162" i="4"/>
  <c r="E145" i="4"/>
  <c r="E116" i="4"/>
  <c r="D49" i="16"/>
  <c r="I6" i="17"/>
  <c r="D7" i="10"/>
  <c r="J26" i="16" s="1"/>
  <c r="C7" i="10"/>
  <c r="J25" i="16" s="1"/>
  <c r="D14" i="11"/>
  <c r="F5" i="6"/>
  <c r="H28" i="11"/>
  <c r="C38" i="6"/>
  <c r="O155" i="4"/>
  <c r="C61" i="10"/>
  <c r="E32" i="10"/>
  <c r="F32" i="10" s="1"/>
  <c r="G32" i="10" s="1"/>
  <c r="H32" i="10" s="1"/>
  <c r="I32" i="10" s="1"/>
  <c r="J32" i="10" s="1"/>
  <c r="K32" i="10" s="1"/>
  <c r="L32" i="10" s="1"/>
  <c r="M32" i="10" s="1"/>
  <c r="N32" i="10" s="1"/>
  <c r="O32" i="10" s="1"/>
  <c r="P32" i="10" s="1"/>
  <c r="Q32" i="10" s="1"/>
  <c r="R32" i="10" s="1"/>
  <c r="S32" i="10" s="1"/>
  <c r="T32" i="10" s="1"/>
  <c r="U32" i="10" s="1"/>
  <c r="V32" i="10" s="1"/>
  <c r="W32" i="10" s="1"/>
  <c r="X32" i="10" s="1"/>
  <c r="E155" i="4"/>
  <c r="E69" i="4"/>
  <c r="H26" i="17"/>
  <c r="D19" i="10"/>
  <c r="J31" i="16" s="1"/>
  <c r="D18" i="10"/>
  <c r="J30" i="16" s="1"/>
  <c r="D17" i="10"/>
  <c r="J29" i="16" s="1"/>
  <c r="D16" i="10"/>
  <c r="J28" i="16" s="1"/>
  <c r="C46" i="6"/>
  <c r="E19" i="10" s="1"/>
  <c r="AD36" i="4"/>
  <c r="AD35" i="4"/>
  <c r="AD34" i="4"/>
  <c r="AD33" i="4"/>
  <c r="AD32" i="4"/>
  <c r="F20" i="4"/>
  <c r="W72" i="8"/>
  <c r="V72" i="8"/>
  <c r="U72" i="8"/>
  <c r="T72" i="8"/>
  <c r="S72" i="8"/>
  <c r="W71" i="8"/>
  <c r="V71" i="8"/>
  <c r="U71" i="8"/>
  <c r="T71" i="8"/>
  <c r="S71" i="8"/>
  <c r="W70" i="8"/>
  <c r="V70" i="8"/>
  <c r="U70" i="8"/>
  <c r="T70" i="8"/>
  <c r="S70" i="8"/>
  <c r="W69" i="8"/>
  <c r="V69" i="8"/>
  <c r="U69" i="8"/>
  <c r="T69" i="8"/>
  <c r="S69" i="8"/>
  <c r="W68" i="8"/>
  <c r="V68" i="8"/>
  <c r="U68" i="8"/>
  <c r="T68" i="8"/>
  <c r="S68" i="8"/>
  <c r="W65" i="8"/>
  <c r="V65" i="8"/>
  <c r="U65" i="8"/>
  <c r="T65" i="8"/>
  <c r="S65" i="8"/>
  <c r="W64" i="8"/>
  <c r="V64" i="8"/>
  <c r="U64" i="8"/>
  <c r="T64" i="8"/>
  <c r="S64" i="8"/>
  <c r="W63" i="8"/>
  <c r="V63" i="8"/>
  <c r="U63" i="8"/>
  <c r="T63" i="8"/>
  <c r="S63" i="8"/>
  <c r="W62" i="8"/>
  <c r="V62" i="8"/>
  <c r="U62" i="8"/>
  <c r="T62" i="8"/>
  <c r="S62" i="8"/>
  <c r="W61" i="8"/>
  <c r="V61" i="8"/>
  <c r="U61" i="8"/>
  <c r="T61" i="8"/>
  <c r="S61" i="8"/>
  <c r="W58" i="8"/>
  <c r="V58" i="8"/>
  <c r="U58" i="8"/>
  <c r="T58" i="8"/>
  <c r="S58" i="8"/>
  <c r="W57" i="8"/>
  <c r="V57" i="8"/>
  <c r="U57" i="8"/>
  <c r="T57" i="8"/>
  <c r="S57" i="8"/>
  <c r="W56" i="8"/>
  <c r="V56" i="8"/>
  <c r="U56" i="8"/>
  <c r="T56" i="8"/>
  <c r="S56" i="8"/>
  <c r="W55" i="8"/>
  <c r="V55" i="8"/>
  <c r="U55" i="8"/>
  <c r="T55" i="8"/>
  <c r="S55" i="8"/>
  <c r="W54" i="8"/>
  <c r="V54" i="8"/>
  <c r="U54" i="8"/>
  <c r="T54" i="8"/>
  <c r="S54" i="8"/>
  <c r="W51" i="8"/>
  <c r="V51" i="8"/>
  <c r="U51" i="8"/>
  <c r="T51" i="8"/>
  <c r="V50" i="8"/>
  <c r="U50" i="8"/>
  <c r="T50" i="8"/>
  <c r="W49" i="8"/>
  <c r="V49" i="8"/>
  <c r="U49" i="8"/>
  <c r="T49" i="8"/>
  <c r="W48" i="8"/>
  <c r="V48" i="8"/>
  <c r="U48" i="8"/>
  <c r="T48" i="8"/>
  <c r="W47" i="8"/>
  <c r="V47" i="8"/>
  <c r="U47" i="8"/>
  <c r="T47" i="8"/>
  <c r="W44" i="8"/>
  <c r="V44" i="8"/>
  <c r="W43" i="8"/>
  <c r="V43" i="8"/>
  <c r="W42" i="8"/>
  <c r="V42" i="8"/>
  <c r="W41" i="8"/>
  <c r="V41" i="8"/>
  <c r="W40" i="8"/>
  <c r="W45" i="8" s="1"/>
  <c r="V40" i="8"/>
  <c r="U44" i="8"/>
  <c r="U43" i="8"/>
  <c r="U42" i="8"/>
  <c r="U41" i="8"/>
  <c r="U40" i="8"/>
  <c r="S51" i="8"/>
  <c r="S50" i="8"/>
  <c r="S49" i="8"/>
  <c r="S48" i="8"/>
  <c r="S47" i="8"/>
  <c r="T44" i="8"/>
  <c r="T43" i="8"/>
  <c r="T42" i="8"/>
  <c r="T41" i="8"/>
  <c r="T40" i="8"/>
  <c r="S44" i="8"/>
  <c r="S43" i="8"/>
  <c r="S42" i="8"/>
  <c r="S41" i="8"/>
  <c r="S40" i="8"/>
  <c r="Q58" i="8"/>
  <c r="P58" i="8" s="1"/>
  <c r="Q57" i="8"/>
  <c r="P57" i="8" s="1"/>
  <c r="Q56" i="8"/>
  <c r="P56" i="8" s="1"/>
  <c r="Q55" i="8"/>
  <c r="P55" i="8" s="1"/>
  <c r="Q54" i="8"/>
  <c r="P54" i="8" s="1"/>
  <c r="Q72" i="8"/>
  <c r="P72" i="8" s="1"/>
  <c r="Q71" i="8"/>
  <c r="P71" i="8" s="1"/>
  <c r="Q70" i="8"/>
  <c r="Q69" i="8"/>
  <c r="P69" i="8" s="1"/>
  <c r="Q68" i="8"/>
  <c r="P68" i="8" s="1"/>
  <c r="Q65" i="8"/>
  <c r="P65" i="8" s="1"/>
  <c r="Q64" i="8"/>
  <c r="P64" i="8" s="1"/>
  <c r="Q63" i="8"/>
  <c r="P63" i="8" s="1"/>
  <c r="Q62" i="8"/>
  <c r="P62" i="8" s="1"/>
  <c r="Q61" i="8"/>
  <c r="P61" i="8" s="1"/>
  <c r="Q51" i="8"/>
  <c r="P51" i="8" s="1"/>
  <c r="Q49" i="8"/>
  <c r="P49" i="8" s="1"/>
  <c r="Q48" i="8"/>
  <c r="P48" i="8" s="1"/>
  <c r="Q47" i="8"/>
  <c r="P47" i="8" s="1"/>
  <c r="Q44" i="8"/>
  <c r="P44" i="8" s="1"/>
  <c r="Q43" i="8"/>
  <c r="P43" i="8" s="1"/>
  <c r="Q42" i="8"/>
  <c r="P42" i="8" s="1"/>
  <c r="Q41" i="8"/>
  <c r="P41" i="8" s="1"/>
  <c r="Q40" i="8"/>
  <c r="P40" i="8" s="1"/>
  <c r="E135" i="4"/>
  <c r="D13" i="11"/>
  <c r="E13" i="11"/>
  <c r="E14" i="11"/>
  <c r="S44" i="11"/>
  <c r="F5" i="10"/>
  <c r="G5" i="10" s="1"/>
  <c r="H5" i="10" s="1"/>
  <c r="I5" i="10" s="1"/>
  <c r="J5" i="10" s="1"/>
  <c r="K5" i="10" s="1"/>
  <c r="L5" i="10" s="1"/>
  <c r="M5" i="10" s="1"/>
  <c r="N5" i="10" s="1"/>
  <c r="O5" i="10" s="1"/>
  <c r="P5" i="10" s="1"/>
  <c r="Q5" i="10" s="1"/>
  <c r="R5" i="10" s="1"/>
  <c r="S5" i="10" s="1"/>
  <c r="T5" i="10" s="1"/>
  <c r="U5" i="10" s="1"/>
  <c r="V5" i="10" s="1"/>
  <c r="W5" i="10" s="1"/>
  <c r="X5" i="10" s="1"/>
  <c r="B32" i="10"/>
  <c r="B33" i="10"/>
  <c r="F54" i="10"/>
  <c r="G54" i="10" s="1"/>
  <c r="H54" i="10" s="1"/>
  <c r="I54" i="10" s="1"/>
  <c r="J54" i="10" s="1"/>
  <c r="K54" i="10" s="1"/>
  <c r="L54" i="10" s="1"/>
  <c r="M54" i="10" s="1"/>
  <c r="N54" i="10" s="1"/>
  <c r="O54" i="10" s="1"/>
  <c r="P54" i="10" s="1"/>
  <c r="Q54" i="10" s="1"/>
  <c r="R54" i="10" s="1"/>
  <c r="S54" i="10" s="1"/>
  <c r="T54" i="10" s="1"/>
  <c r="U54" i="10" s="1"/>
  <c r="V54" i="10" s="1"/>
  <c r="W54" i="10" s="1"/>
  <c r="X54" i="10" s="1"/>
  <c r="C56" i="10"/>
  <c r="E18" i="10"/>
  <c r="E23" i="8"/>
  <c r="N42" i="8" s="1"/>
  <c r="F23" i="8"/>
  <c r="N48" i="8" s="1"/>
  <c r="G23" i="8"/>
  <c r="N58" i="8" s="1"/>
  <c r="K55" i="8"/>
  <c r="L55" i="8" s="1"/>
  <c r="H23" i="8"/>
  <c r="I31" i="8" s="1"/>
  <c r="I23" i="8"/>
  <c r="N72" i="8" s="1"/>
  <c r="K40" i="8"/>
  <c r="L40" i="8" s="1"/>
  <c r="O40" i="8"/>
  <c r="K41" i="8"/>
  <c r="O41" i="8"/>
  <c r="K42" i="8"/>
  <c r="L42" i="8" s="1"/>
  <c r="O42" i="8"/>
  <c r="K43" i="8"/>
  <c r="L43" i="8" s="1"/>
  <c r="O43" i="8"/>
  <c r="K44" i="8"/>
  <c r="L44" i="8" s="1"/>
  <c r="O44" i="8"/>
  <c r="C45" i="8"/>
  <c r="C12" i="16" s="1"/>
  <c r="K47" i="8"/>
  <c r="L47" i="8" s="1"/>
  <c r="O47" i="8"/>
  <c r="O48" i="8"/>
  <c r="K49" i="8"/>
  <c r="L49" i="8" s="1"/>
  <c r="O49" i="8"/>
  <c r="W50" i="8"/>
  <c r="K51" i="8"/>
  <c r="L51" i="8" s="1"/>
  <c r="O51" i="8"/>
  <c r="K54" i="8"/>
  <c r="L54" i="8" s="1"/>
  <c r="O54" i="8"/>
  <c r="O55" i="8"/>
  <c r="K56" i="8"/>
  <c r="L56" i="8" s="1"/>
  <c r="O56" i="8"/>
  <c r="K57" i="8"/>
  <c r="L57" i="8" s="1"/>
  <c r="O57" i="8"/>
  <c r="K58" i="8"/>
  <c r="L58" i="8" s="1"/>
  <c r="O58" i="8"/>
  <c r="C59" i="8"/>
  <c r="E12" i="16" s="1"/>
  <c r="C55" i="11" s="1"/>
  <c r="K61" i="8"/>
  <c r="L61" i="8" s="1"/>
  <c r="O61" i="8"/>
  <c r="K62" i="8"/>
  <c r="O62" i="8"/>
  <c r="K63" i="8"/>
  <c r="L63" i="8" s="1"/>
  <c r="O63" i="8"/>
  <c r="K64" i="8"/>
  <c r="L64" i="8" s="1"/>
  <c r="O64" i="8"/>
  <c r="K65" i="8"/>
  <c r="L65" i="8" s="1"/>
  <c r="O65" i="8"/>
  <c r="C66" i="8"/>
  <c r="F12" i="16" s="1"/>
  <c r="K68" i="8"/>
  <c r="O68" i="8"/>
  <c r="K69" i="8"/>
  <c r="L69" i="8" s="1"/>
  <c r="O69" i="8"/>
  <c r="K70" i="8"/>
  <c r="L70" i="8" s="1"/>
  <c r="O70" i="8"/>
  <c r="K71" i="8"/>
  <c r="L71" i="8" s="1"/>
  <c r="O71" i="8"/>
  <c r="K72" i="8"/>
  <c r="L72" i="8" s="1"/>
  <c r="O72" i="8"/>
  <c r="C73" i="8"/>
  <c r="G12" i="16" s="1"/>
  <c r="C57" i="11" s="1"/>
  <c r="J88" i="8"/>
  <c r="J89" i="8"/>
  <c r="J90" i="8"/>
  <c r="J91" i="8"/>
  <c r="J92" i="8"/>
  <c r="J93" i="8"/>
  <c r="E100" i="8"/>
  <c r="E11" i="10" s="1"/>
  <c r="F100" i="8"/>
  <c r="F11" i="10" s="1"/>
  <c r="G100" i="8"/>
  <c r="G11" i="10" s="1"/>
  <c r="H100" i="8"/>
  <c r="H11" i="10" s="1"/>
  <c r="I100" i="8"/>
  <c r="I11" i="10" s="1"/>
  <c r="K16" i="4"/>
  <c r="E33" i="10" s="1"/>
  <c r="F33" i="10" s="1"/>
  <c r="G33" i="10" s="1"/>
  <c r="H33" i="10" s="1"/>
  <c r="I33" i="10" s="1"/>
  <c r="J33" i="10" s="1"/>
  <c r="K33" i="10" s="1"/>
  <c r="L33" i="10" s="1"/>
  <c r="M33" i="10" s="1"/>
  <c r="N33" i="10" s="1"/>
  <c r="O33" i="10" s="1"/>
  <c r="P33" i="10" s="1"/>
  <c r="Q33" i="10" s="1"/>
  <c r="R33" i="10" s="1"/>
  <c r="S33" i="10" s="1"/>
  <c r="T33" i="10" s="1"/>
  <c r="U33" i="10" s="1"/>
  <c r="V33" i="10" s="1"/>
  <c r="W33" i="10" s="1"/>
  <c r="X33" i="10" s="1"/>
  <c r="K17" i="4"/>
  <c r="K12" i="4"/>
  <c r="K19" i="4"/>
  <c r="F34" i="4"/>
  <c r="E60" i="4"/>
  <c r="E61" i="4"/>
  <c r="G62" i="4"/>
  <c r="H62" i="4"/>
  <c r="I62" i="4"/>
  <c r="E66" i="4"/>
  <c r="E67" i="4"/>
  <c r="E68" i="4"/>
  <c r="E71" i="4"/>
  <c r="E72" i="4"/>
  <c r="E73" i="4"/>
  <c r="E74" i="4"/>
  <c r="E75" i="4"/>
  <c r="E76" i="4"/>
  <c r="E77" i="4"/>
  <c r="E79" i="4"/>
  <c r="E80" i="4"/>
  <c r="E81" i="4"/>
  <c r="E82" i="4"/>
  <c r="E83" i="4"/>
  <c r="E84" i="4"/>
  <c r="E85" i="4"/>
  <c r="E86" i="4"/>
  <c r="E88" i="4"/>
  <c r="E89" i="4"/>
  <c r="E90" i="4"/>
  <c r="G91" i="4"/>
  <c r="H91" i="4"/>
  <c r="I91" i="4"/>
  <c r="E98" i="4"/>
  <c r="E99" i="4"/>
  <c r="E100" i="4"/>
  <c r="E101" i="4"/>
  <c r="E102" i="4"/>
  <c r="E103" i="4"/>
  <c r="E104" i="4"/>
  <c r="E105" i="4"/>
  <c r="E106" i="4"/>
  <c r="E107" i="4"/>
  <c r="E108" i="4"/>
  <c r="E109" i="4"/>
  <c r="E111" i="4"/>
  <c r="E112" i="4"/>
  <c r="E113" i="4"/>
  <c r="E114" i="4"/>
  <c r="E115" i="4"/>
  <c r="E117" i="4"/>
  <c r="E119" i="4"/>
  <c r="E120" i="4"/>
  <c r="E121" i="4"/>
  <c r="E123" i="4"/>
  <c r="E124" i="4"/>
  <c r="E125" i="4"/>
  <c r="E126" i="4"/>
  <c r="E127" i="4"/>
  <c r="E128" i="4"/>
  <c r="E129" i="4"/>
  <c r="E131" i="4"/>
  <c r="E132" i="4"/>
  <c r="E133" i="4"/>
  <c r="E136" i="4"/>
  <c r="E137" i="4"/>
  <c r="E138" i="4"/>
  <c r="E139" i="4"/>
  <c r="E144" i="4"/>
  <c r="E142" i="4"/>
  <c r="E143" i="4"/>
  <c r="E140" i="4"/>
  <c r="E146" i="4"/>
  <c r="E147" i="4"/>
  <c r="E149" i="4"/>
  <c r="E150" i="4"/>
  <c r="E151" i="4"/>
  <c r="E154" i="4"/>
  <c r="E156" i="4"/>
  <c r="G157" i="4"/>
  <c r="H157" i="4"/>
  <c r="G168" i="4"/>
  <c r="H28" i="16"/>
  <c r="H29" i="16"/>
  <c r="H30" i="16"/>
  <c r="H31" i="16"/>
  <c r="B43" i="16"/>
  <c r="D43" i="16"/>
  <c r="D46" i="16"/>
  <c r="D47" i="16"/>
  <c r="D48" i="16"/>
  <c r="K50" i="8"/>
  <c r="L50" i="8" s="1"/>
  <c r="Q50" i="8"/>
  <c r="P50" i="8" s="1"/>
  <c r="I94" i="8"/>
  <c r="C52" i="8"/>
  <c r="D12" i="16" s="1"/>
  <c r="C54" i="11" s="1"/>
  <c r="O50" i="8"/>
  <c r="C21" i="6"/>
  <c r="C31" i="6"/>
  <c r="I157" i="4"/>
  <c r="E152" i="4"/>
  <c r="D8" i="11"/>
  <c r="E94" i="4"/>
  <c r="N61" i="8"/>
  <c r="K48" i="8"/>
  <c r="N65" i="8"/>
  <c r="C8" i="11"/>
  <c r="C7" i="11"/>
  <c r="D9" i="11"/>
  <c r="C9" i="11"/>
  <c r="N43" i="8"/>
  <c r="N40" i="8"/>
  <c r="I12" i="16" l="1"/>
  <c r="F85" i="4" s="1"/>
  <c r="E38" i="11"/>
  <c r="F113" i="4"/>
  <c r="F104" i="4"/>
  <c r="D31" i="6"/>
  <c r="F132" i="4"/>
  <c r="F112" i="4"/>
  <c r="F103" i="4"/>
  <c r="E46" i="16"/>
  <c r="F142" i="4"/>
  <c r="F131" i="4"/>
  <c r="F81" i="4"/>
  <c r="F61" i="4"/>
  <c r="F69" i="4"/>
  <c r="F144" i="4"/>
  <c r="F120" i="4"/>
  <c r="F109" i="4"/>
  <c r="E39" i="16"/>
  <c r="F127" i="4"/>
  <c r="F77" i="4"/>
  <c r="F119" i="4"/>
  <c r="F108" i="4"/>
  <c r="F100" i="4"/>
  <c r="F88" i="4"/>
  <c r="E49" i="16"/>
  <c r="E44" i="16"/>
  <c r="W66" i="8"/>
  <c r="F19" i="10"/>
  <c r="G19" i="10" s="1"/>
  <c r="H19" i="10" s="1"/>
  <c r="I19" i="10" s="1"/>
  <c r="J19" i="10" s="1"/>
  <c r="K19" i="10" s="1"/>
  <c r="L19" i="10" s="1"/>
  <c r="M19" i="10" s="1"/>
  <c r="N19" i="10" s="1"/>
  <c r="O19" i="10" s="1"/>
  <c r="P19" i="10" s="1"/>
  <c r="Q19" i="10" s="1"/>
  <c r="R19" i="10" s="1"/>
  <c r="S19" i="10" s="1"/>
  <c r="T19" i="10" s="1"/>
  <c r="U19" i="10" s="1"/>
  <c r="V19" i="10" s="1"/>
  <c r="W19" i="10" s="1"/>
  <c r="X19" i="10" s="1"/>
  <c r="K45" i="8"/>
  <c r="C13" i="16" s="1"/>
  <c r="U45" i="8"/>
  <c r="W73" i="8"/>
  <c r="D62" i="11"/>
  <c r="C62" i="11" s="1"/>
  <c r="C70" i="11" s="1"/>
  <c r="E70" i="11" s="1"/>
  <c r="D65" i="11"/>
  <c r="C65" i="11" s="1"/>
  <c r="N44" i="8"/>
  <c r="S52" i="8"/>
  <c r="N62" i="8"/>
  <c r="L41" i="8"/>
  <c r="L45" i="8" s="1"/>
  <c r="S45" i="8"/>
  <c r="V45" i="8"/>
  <c r="S66" i="8"/>
  <c r="N64" i="8"/>
  <c r="N63" i="8"/>
  <c r="S73" i="8"/>
  <c r="Q59" i="8"/>
  <c r="E59" i="8" s="1"/>
  <c r="Q45" i="8"/>
  <c r="E45" i="8" s="1"/>
  <c r="H159" i="4"/>
  <c r="H169" i="4" s="1"/>
  <c r="H171" i="4" s="1"/>
  <c r="H173" i="4" s="1"/>
  <c r="F6" i="21" s="1"/>
  <c r="F7" i="21" s="1"/>
  <c r="C18" i="11"/>
  <c r="E18" i="11" s="1"/>
  <c r="C53" i="11"/>
  <c r="G159" i="4"/>
  <c r="U66" i="8"/>
  <c r="T45" i="8"/>
  <c r="U59" i="8"/>
  <c r="V73" i="8"/>
  <c r="U73" i="8"/>
  <c r="G28" i="8"/>
  <c r="G32" i="8"/>
  <c r="D29" i="16"/>
  <c r="E29" i="16" s="1"/>
  <c r="V66" i="8"/>
  <c r="D64" i="11"/>
  <c r="C64" i="11" s="1"/>
  <c r="C72" i="11" s="1"/>
  <c r="E72" i="11" s="1"/>
  <c r="S59" i="8"/>
  <c r="W59" i="8"/>
  <c r="D63" i="11"/>
  <c r="C63" i="11" s="1"/>
  <c r="E63" i="11" s="1"/>
  <c r="N71" i="8"/>
  <c r="N70" i="8"/>
  <c r="N57" i="8"/>
  <c r="N54" i="8"/>
  <c r="E49" i="4"/>
  <c r="C22" i="11"/>
  <c r="E22" i="11" s="1"/>
  <c r="I28" i="8"/>
  <c r="C56" i="11"/>
  <c r="C21" i="11"/>
  <c r="E21" i="11" s="1"/>
  <c r="H28" i="8"/>
  <c r="G31" i="8"/>
  <c r="W52" i="8"/>
  <c r="T66" i="8"/>
  <c r="E17" i="10"/>
  <c r="F17" i="10" s="1"/>
  <c r="G17" i="10" s="1"/>
  <c r="H17" i="10" s="1"/>
  <c r="I17" i="10" s="1"/>
  <c r="J17" i="10" s="1"/>
  <c r="K17" i="10" s="1"/>
  <c r="L17" i="10" s="1"/>
  <c r="M17" i="10" s="1"/>
  <c r="N17" i="10" s="1"/>
  <c r="O17" i="10" s="1"/>
  <c r="P17" i="10" s="1"/>
  <c r="Q17" i="10" s="1"/>
  <c r="R17" i="10" s="1"/>
  <c r="S17" i="10" s="1"/>
  <c r="T17" i="10" s="1"/>
  <c r="U17" i="10" s="1"/>
  <c r="V17" i="10" s="1"/>
  <c r="W17" i="10" s="1"/>
  <c r="X17" i="10" s="1"/>
  <c r="Q66" i="8"/>
  <c r="E66" i="8" s="1"/>
  <c r="D31" i="16"/>
  <c r="E31" i="16" s="1"/>
  <c r="T52" i="8"/>
  <c r="V52" i="8"/>
  <c r="T59" i="8"/>
  <c r="T73" i="8"/>
  <c r="AD37" i="4"/>
  <c r="E163" i="4" s="1"/>
  <c r="D61" i="11"/>
  <c r="C61" i="11" s="1"/>
  <c r="L59" i="8"/>
  <c r="I159" i="4"/>
  <c r="F13" i="11"/>
  <c r="F34" i="20"/>
  <c r="G31" i="20"/>
  <c r="F31" i="20"/>
  <c r="E37" i="20"/>
  <c r="F37" i="20"/>
  <c r="E31" i="20"/>
  <c r="G37" i="20"/>
  <c r="D46" i="6"/>
  <c r="F38" i="8"/>
  <c r="E45" i="11" s="1"/>
  <c r="V59" i="8"/>
  <c r="K59" i="8"/>
  <c r="E13" i="16" s="1"/>
  <c r="C20" i="11"/>
  <c r="E20" i="11" s="1"/>
  <c r="E38" i="8"/>
  <c r="D76" i="8"/>
  <c r="C19" i="11"/>
  <c r="E19" i="11" s="1"/>
  <c r="Q52" i="8"/>
  <c r="E52" i="8" s="1"/>
  <c r="U52" i="8"/>
  <c r="N41" i="8"/>
  <c r="F35" i="4"/>
  <c r="J40" i="16"/>
  <c r="D42" i="16" s="1"/>
  <c r="E15" i="11"/>
  <c r="D15" i="11"/>
  <c r="F18" i="10"/>
  <c r="G18" i="10" s="1"/>
  <c r="H18" i="10" s="1"/>
  <c r="I18" i="10" s="1"/>
  <c r="J18" i="10" s="1"/>
  <c r="K18" i="10" s="1"/>
  <c r="L18" i="10" s="1"/>
  <c r="M18" i="10" s="1"/>
  <c r="N18" i="10" s="1"/>
  <c r="O18" i="10" s="1"/>
  <c r="P18" i="10" s="1"/>
  <c r="Q18" i="10" s="1"/>
  <c r="R18" i="10" s="1"/>
  <c r="S18" i="10" s="1"/>
  <c r="T18" i="10" s="1"/>
  <c r="U18" i="10" s="1"/>
  <c r="V18" i="10" s="1"/>
  <c r="W18" i="10" s="1"/>
  <c r="X18" i="10" s="1"/>
  <c r="F38" i="10"/>
  <c r="E38" i="10"/>
  <c r="C48" i="6"/>
  <c r="F46" i="6" s="1"/>
  <c r="E16" i="10"/>
  <c r="F67" i="4"/>
  <c r="E91" i="4"/>
  <c r="K20" i="4"/>
  <c r="E157" i="4"/>
  <c r="L48" i="8"/>
  <c r="L52" i="8" s="1"/>
  <c r="K52" i="8"/>
  <c r="D13" i="16" s="1"/>
  <c r="J94" i="8"/>
  <c r="L68" i="8"/>
  <c r="L73" i="8" s="1"/>
  <c r="K73" i="8"/>
  <c r="D77" i="8"/>
  <c r="I29" i="8"/>
  <c r="G29" i="8"/>
  <c r="H29" i="8"/>
  <c r="N51" i="8"/>
  <c r="N49" i="8"/>
  <c r="N47" i="8"/>
  <c r="N50" i="8"/>
  <c r="F60" i="4"/>
  <c r="E62" i="4"/>
  <c r="L62" i="8"/>
  <c r="L66" i="8" s="1"/>
  <c r="K66" i="8"/>
  <c r="F13" i="16" s="1"/>
  <c r="N69" i="8"/>
  <c r="N68" i="8"/>
  <c r="H30" i="8"/>
  <c r="I30" i="8"/>
  <c r="G30" i="8"/>
  <c r="N56" i="8"/>
  <c r="N55" i="8"/>
  <c r="P70" i="8"/>
  <c r="I79" i="8" s="1"/>
  <c r="C8" i="21" s="1"/>
  <c r="Q73" i="8"/>
  <c r="E73" i="8" s="1"/>
  <c r="H32" i="8"/>
  <c r="H31" i="8"/>
  <c r="I32" i="8"/>
  <c r="D40" i="11"/>
  <c r="I18" i="17"/>
  <c r="F146" i="4" l="1"/>
  <c r="D42" i="6"/>
  <c r="D29" i="6"/>
  <c r="D19" i="6"/>
  <c r="D9" i="6"/>
  <c r="G27" i="4"/>
  <c r="G17" i="4"/>
  <c r="D30" i="6"/>
  <c r="G15" i="4"/>
  <c r="F82" i="4"/>
  <c r="E5" i="20"/>
  <c r="D37" i="6"/>
  <c r="D41" i="6"/>
  <c r="D28" i="6"/>
  <c r="D18" i="6"/>
  <c r="D8" i="6"/>
  <c r="G26" i="4"/>
  <c r="D43" i="6"/>
  <c r="D13" i="6"/>
  <c r="D8" i="10"/>
  <c r="J24" i="16" s="1"/>
  <c r="D40" i="6"/>
  <c r="H23" i="17" s="1"/>
  <c r="I23" i="17" s="1"/>
  <c r="D27" i="6"/>
  <c r="D17" i="6"/>
  <c r="G33" i="4"/>
  <c r="G25" i="4"/>
  <c r="C8" i="10"/>
  <c r="G28" i="4"/>
  <c r="D11" i="6"/>
  <c r="D36" i="6"/>
  <c r="D26" i="6"/>
  <c r="D16" i="6"/>
  <c r="G32" i="4"/>
  <c r="G24" i="4"/>
  <c r="D35" i="6"/>
  <c r="D25" i="6"/>
  <c r="D15" i="6"/>
  <c r="G31" i="4"/>
  <c r="G23" i="4"/>
  <c r="G16" i="4"/>
  <c r="D42" i="11"/>
  <c r="G12" i="4"/>
  <c r="C6" i="21"/>
  <c r="D45" i="6"/>
  <c r="D34" i="6"/>
  <c r="D24" i="6"/>
  <c r="D14" i="6"/>
  <c r="G30" i="4"/>
  <c r="G19" i="4"/>
  <c r="E4" i="4"/>
  <c r="D10" i="6"/>
  <c r="D44" i="6"/>
  <c r="D33" i="6"/>
  <c r="D23" i="6"/>
  <c r="D12" i="6"/>
  <c r="G29" i="4"/>
  <c r="G18" i="4"/>
  <c r="F4" i="6"/>
  <c r="D20" i="6"/>
  <c r="E40" i="16"/>
  <c r="F98" i="4"/>
  <c r="F141" i="4"/>
  <c r="F129" i="4"/>
  <c r="F72" i="4"/>
  <c r="F154" i="4"/>
  <c r="F123" i="4"/>
  <c r="F138" i="4"/>
  <c r="F124" i="4"/>
  <c r="F75" i="4"/>
  <c r="F86" i="4"/>
  <c r="F106" i="4"/>
  <c r="F133" i="4"/>
  <c r="F84" i="4"/>
  <c r="F115" i="4"/>
  <c r="D38" i="6"/>
  <c r="F128" i="4"/>
  <c r="F71" i="4"/>
  <c r="F151" i="4"/>
  <c r="F90" i="4"/>
  <c r="F94" i="4"/>
  <c r="F143" i="4"/>
  <c r="F148" i="4"/>
  <c r="F140" i="4"/>
  <c r="F105" i="4"/>
  <c r="E37" i="11"/>
  <c r="F126" i="4"/>
  <c r="F155" i="4"/>
  <c r="F139" i="4"/>
  <c r="F80" i="4"/>
  <c r="E43" i="16"/>
  <c r="F102" i="4"/>
  <c r="F117" i="4"/>
  <c r="F156" i="4"/>
  <c r="F135" i="4"/>
  <c r="E48" i="16"/>
  <c r="F114" i="4"/>
  <c r="F145" i="4"/>
  <c r="F137" i="4"/>
  <c r="D21" i="6"/>
  <c r="E42" i="16"/>
  <c r="F68" i="4"/>
  <c r="F150" i="4"/>
  <c r="F89" i="4"/>
  <c r="F107" i="4"/>
  <c r="F111" i="4"/>
  <c r="E41" i="16"/>
  <c r="E38" i="16"/>
  <c r="F74" i="4"/>
  <c r="F116" i="4"/>
  <c r="F125" i="4"/>
  <c r="F66" i="4"/>
  <c r="F147" i="4"/>
  <c r="G35" i="4"/>
  <c r="F79" i="4"/>
  <c r="F152" i="4"/>
  <c r="F101" i="4"/>
  <c r="E39" i="11"/>
  <c r="F121" i="4"/>
  <c r="F73" i="4"/>
  <c r="E47" i="16"/>
  <c r="F83" i="4"/>
  <c r="F149" i="4"/>
  <c r="F136" i="4"/>
  <c r="F76" i="4"/>
  <c r="F99" i="4"/>
  <c r="C58" i="11"/>
  <c r="E65" i="11"/>
  <c r="C73" i="11"/>
  <c r="E73" i="11" s="1"/>
  <c r="C75" i="8"/>
  <c r="D28" i="22"/>
  <c r="E64" i="11"/>
  <c r="D66" i="11"/>
  <c r="C71" i="11"/>
  <c r="E71" i="11" s="1"/>
  <c r="E61" i="11"/>
  <c r="C69" i="11"/>
  <c r="E69" i="11" s="1"/>
  <c r="C66" i="11"/>
  <c r="E66" i="11" s="1"/>
  <c r="E23" i="11"/>
  <c r="E62" i="11"/>
  <c r="F14" i="11"/>
  <c r="F48" i="6"/>
  <c r="I78" i="8"/>
  <c r="C25" i="21" s="1"/>
  <c r="C26" i="21" s="1"/>
  <c r="F17" i="21" s="1"/>
  <c r="E44" i="11"/>
  <c r="E46" i="11" s="1"/>
  <c r="E47" i="11" s="1"/>
  <c r="H2" i="10" s="1"/>
  <c r="D50" i="16"/>
  <c r="F42" i="16" s="1"/>
  <c r="G38" i="10"/>
  <c r="F29" i="6"/>
  <c r="F21" i="6"/>
  <c r="F40" i="6"/>
  <c r="F25" i="6"/>
  <c r="F9" i="6"/>
  <c r="F36" i="6"/>
  <c r="F44" i="6"/>
  <c r="F11" i="6"/>
  <c r="F38" i="6"/>
  <c r="D48" i="6"/>
  <c r="H22" i="17" s="1"/>
  <c r="K22" i="17" s="1"/>
  <c r="I22" i="17" s="1"/>
  <c r="F34" i="6"/>
  <c r="F31" i="6"/>
  <c r="F43" i="6"/>
  <c r="F33" i="6"/>
  <c r="F45" i="6"/>
  <c r="F19" i="6"/>
  <c r="F42" i="6"/>
  <c r="F14" i="6"/>
  <c r="F35" i="6"/>
  <c r="F8" i="6"/>
  <c r="F41" i="6"/>
  <c r="F17" i="6"/>
  <c r="D26" i="17"/>
  <c r="J124" i="4" s="1"/>
  <c r="F23" i="6"/>
  <c r="F20" i="6"/>
  <c r="F10" i="6"/>
  <c r="F16" i="6"/>
  <c r="F37" i="6"/>
  <c r="F15" i="6"/>
  <c r="F24" i="6"/>
  <c r="F18" i="6"/>
  <c r="F13" i="6"/>
  <c r="D20" i="16"/>
  <c r="E20" i="16" s="1"/>
  <c r="F30" i="6"/>
  <c r="F26" i="6"/>
  <c r="F27" i="6"/>
  <c r="F12" i="6"/>
  <c r="F28" i="6"/>
  <c r="D80" i="8"/>
  <c r="D30" i="11" s="1"/>
  <c r="D31" i="11" s="1"/>
  <c r="D8" i="16"/>
  <c r="I8" i="16" s="1"/>
  <c r="D28" i="16"/>
  <c r="J94" i="4"/>
  <c r="H25" i="17" s="1"/>
  <c r="I25" i="17" s="1"/>
  <c r="J82" i="4"/>
  <c r="J81" i="4"/>
  <c r="J80" i="4"/>
  <c r="D27" i="16"/>
  <c r="E159" i="4"/>
  <c r="G13" i="16"/>
  <c r="I76" i="8"/>
  <c r="I77" i="8" s="1"/>
  <c r="F157" i="4"/>
  <c r="D30" i="16"/>
  <c r="H38" i="10"/>
  <c r="J76" i="8"/>
  <c r="F16" i="10"/>
  <c r="E20" i="10"/>
  <c r="E21" i="10" s="1"/>
  <c r="D23" i="16"/>
  <c r="E23" i="16" s="1"/>
  <c r="D17" i="16"/>
  <c r="E17" i="16" s="1"/>
  <c r="E10" i="10"/>
  <c r="F10" i="10" s="1"/>
  <c r="G10" i="10" s="1"/>
  <c r="H10" i="10" s="1"/>
  <c r="I10" i="10" s="1"/>
  <c r="J10" i="10" s="1"/>
  <c r="K10" i="10" s="1"/>
  <c r="L10" i="10" s="1"/>
  <c r="M10" i="10" s="1"/>
  <c r="N10" i="10" s="1"/>
  <c r="O10" i="10" s="1"/>
  <c r="P10" i="10" s="1"/>
  <c r="Q10" i="10" s="1"/>
  <c r="R10" i="10" s="1"/>
  <c r="S10" i="10" s="1"/>
  <c r="T10" i="10" s="1"/>
  <c r="U10" i="10" s="1"/>
  <c r="V10" i="10" s="1"/>
  <c r="W10" i="10" s="1"/>
  <c r="X10" i="10" s="1"/>
  <c r="C24" i="10"/>
  <c r="E24" i="10" s="1"/>
  <c r="D21" i="16" s="1"/>
  <c r="E21" i="16" s="1"/>
  <c r="E75" i="11"/>
  <c r="E40" i="11"/>
  <c r="D50" i="6"/>
  <c r="C50" i="6" s="1"/>
  <c r="C18" i="16" l="1"/>
  <c r="J23" i="16"/>
  <c r="G34" i="4"/>
  <c r="G20" i="4"/>
  <c r="D21" i="22"/>
  <c r="E21" i="22" s="1"/>
  <c r="E22" i="22" s="1"/>
  <c r="D41" i="11"/>
  <c r="D56" i="11" s="1"/>
  <c r="E56" i="11" s="1"/>
  <c r="E74" i="11"/>
  <c r="E76" i="11" s="1"/>
  <c r="D35" i="16"/>
  <c r="D33" i="16"/>
  <c r="C74" i="11"/>
  <c r="F48" i="16"/>
  <c r="F46" i="16"/>
  <c r="F49" i="16"/>
  <c r="F40" i="16"/>
  <c r="F44" i="16"/>
  <c r="F43" i="16"/>
  <c r="F41" i="16"/>
  <c r="F47" i="16"/>
  <c r="F39" i="16"/>
  <c r="E50" i="16"/>
  <c r="F38" i="16"/>
  <c r="F50" i="16"/>
  <c r="C5" i="21"/>
  <c r="C7" i="21" s="1"/>
  <c r="J157" i="4"/>
  <c r="I26" i="17"/>
  <c r="F24" i="10"/>
  <c r="G24" i="10" s="1"/>
  <c r="E27" i="16"/>
  <c r="D32" i="16"/>
  <c r="F30" i="16" s="1"/>
  <c r="I38" i="10"/>
  <c r="C9" i="21"/>
  <c r="E4" i="20"/>
  <c r="G16" i="10"/>
  <c r="F20" i="10"/>
  <c r="F21" i="10" s="1"/>
  <c r="E28" i="16"/>
  <c r="J77" i="8"/>
  <c r="E7" i="10"/>
  <c r="D16" i="16"/>
  <c r="E16" i="16" s="1"/>
  <c r="E30" i="16"/>
  <c r="F46" i="4"/>
  <c r="F45" i="4"/>
  <c r="J41" i="16"/>
  <c r="F40" i="4"/>
  <c r="D34" i="16"/>
  <c r="F42" i="4"/>
  <c r="E24" i="11"/>
  <c r="E50" i="4"/>
  <c r="F50" i="4" s="1"/>
  <c r="G36" i="4"/>
  <c r="F36" i="4"/>
  <c r="F41" i="4"/>
  <c r="F159" i="4"/>
  <c r="F47" i="4"/>
  <c r="F48" i="4"/>
  <c r="J155" i="4"/>
  <c r="H27" i="17" s="1"/>
  <c r="C13" i="21"/>
  <c r="C15" i="21" s="1"/>
  <c r="C18" i="21" s="1"/>
  <c r="F43" i="4"/>
  <c r="F44" i="4"/>
  <c r="J47" i="16"/>
  <c r="F37" i="4"/>
  <c r="G37" i="4" s="1"/>
  <c r="D32" i="11"/>
  <c r="D20" i="22" l="1"/>
  <c r="E20" i="22" s="1"/>
  <c r="D19" i="22"/>
  <c r="E19" i="22" s="1"/>
  <c r="D22" i="22"/>
  <c r="D57" i="11"/>
  <c r="E57" i="11" s="1"/>
  <c r="D53" i="11"/>
  <c r="E53" i="11" s="1"/>
  <c r="D44" i="11"/>
  <c r="F43" i="11" s="1"/>
  <c r="D54" i="11"/>
  <c r="E54" i="11" s="1"/>
  <c r="D55" i="11"/>
  <c r="E55" i="11" s="1"/>
  <c r="H28" i="17"/>
  <c r="I28" i="17" s="1"/>
  <c r="I27" i="17"/>
  <c r="F29" i="16"/>
  <c r="E32" i="16"/>
  <c r="F31" i="16"/>
  <c r="D52" i="16"/>
  <c r="J38" i="10"/>
  <c r="D33" i="11"/>
  <c r="D34" i="11"/>
  <c r="F49" i="4"/>
  <c r="C33" i="21"/>
  <c r="C10" i="21"/>
  <c r="C19" i="21" s="1"/>
  <c r="C20" i="21" s="1"/>
  <c r="F15" i="21" s="1"/>
  <c r="F27" i="16"/>
  <c r="E27" i="11"/>
  <c r="E26" i="11"/>
  <c r="E25" i="11"/>
  <c r="F7" i="10"/>
  <c r="E8" i="10"/>
  <c r="D18" i="16" s="1"/>
  <c r="E18" i="16" s="1"/>
  <c r="F28" i="16"/>
  <c r="H16" i="10"/>
  <c r="G20" i="10"/>
  <c r="G21" i="10" s="1"/>
  <c r="H24" i="10"/>
  <c r="E27" i="22" l="1"/>
  <c r="E29" i="22" s="1"/>
  <c r="E30" i="22" s="1"/>
  <c r="E31" i="22" s="1"/>
  <c r="D45" i="11"/>
  <c r="F37" i="8" s="1"/>
  <c r="E8" i="11" s="1"/>
  <c r="E37" i="8"/>
  <c r="E58" i="11"/>
  <c r="F61" i="11"/>
  <c r="D46" i="11"/>
  <c r="C34" i="21"/>
  <c r="C35" i="21" s="1"/>
  <c r="F19" i="21" s="1"/>
  <c r="F32" i="16"/>
  <c r="E9" i="10"/>
  <c r="E12" i="10" s="1"/>
  <c r="D19" i="16" s="1"/>
  <c r="E19" i="16" s="1"/>
  <c r="I16" i="10"/>
  <c r="H20" i="10"/>
  <c r="H21" i="10" s="1"/>
  <c r="G7" i="10"/>
  <c r="F8" i="10"/>
  <c r="F9" i="10" s="1"/>
  <c r="F12" i="10" s="1"/>
  <c r="K38" i="10"/>
  <c r="E52" i="16"/>
  <c r="F52" i="16"/>
  <c r="I24" i="10"/>
  <c r="F45" i="11" l="1"/>
  <c r="F63" i="11"/>
  <c r="D7" i="11"/>
  <c r="G38" i="8"/>
  <c r="E25" i="10"/>
  <c r="G15" i="6"/>
  <c r="H21" i="17" s="1"/>
  <c r="I21" i="17" s="1"/>
  <c r="E13" i="10"/>
  <c r="F13" i="10"/>
  <c r="F25" i="10"/>
  <c r="F39" i="10" s="1"/>
  <c r="H7" i="10"/>
  <c r="G8" i="10"/>
  <c r="G9" i="10" s="1"/>
  <c r="G12" i="10" s="1"/>
  <c r="L38" i="10"/>
  <c r="J16" i="10"/>
  <c r="I20" i="10"/>
  <c r="I21" i="10" s="1"/>
  <c r="J24" i="10"/>
  <c r="E41" i="10" l="1"/>
  <c r="E47" i="10" s="1"/>
  <c r="E48" i="10" s="1"/>
  <c r="E39" i="10"/>
  <c r="D22" i="16"/>
  <c r="E22" i="16" s="1"/>
  <c r="E26" i="10"/>
  <c r="M38" i="10"/>
  <c r="I7" i="10"/>
  <c r="H8" i="10"/>
  <c r="H9" i="10" s="1"/>
  <c r="H12" i="10" s="1"/>
  <c r="F26" i="10"/>
  <c r="F41" i="10"/>
  <c r="K16" i="10"/>
  <c r="J20" i="10"/>
  <c r="J21" i="10" s="1"/>
  <c r="G13" i="10"/>
  <c r="G25" i="10"/>
  <c r="G39" i="10" s="1"/>
  <c r="K24" i="10"/>
  <c r="E42" i="10" l="1"/>
  <c r="J17" i="16" s="1"/>
  <c r="D24" i="16"/>
  <c r="E24" i="16" s="1"/>
  <c r="H30" i="17"/>
  <c r="I30" i="17" s="1"/>
  <c r="I17" i="16"/>
  <c r="E49" i="10"/>
  <c r="F42" i="10"/>
  <c r="F47" i="10"/>
  <c r="N38" i="10"/>
  <c r="K20" i="10"/>
  <c r="K21" i="10" s="1"/>
  <c r="L16" i="10"/>
  <c r="H13" i="10"/>
  <c r="H25" i="10"/>
  <c r="H39" i="10" s="1"/>
  <c r="G26" i="10"/>
  <c r="G41" i="10"/>
  <c r="J7" i="10"/>
  <c r="I8" i="10"/>
  <c r="I9" i="10" s="1"/>
  <c r="I12" i="10" s="1"/>
  <c r="L24" i="10"/>
  <c r="F48" i="10" l="1"/>
  <c r="F51" i="10" s="1"/>
  <c r="F52" i="10" s="1"/>
  <c r="E51" i="10"/>
  <c r="E52" i="10" s="1"/>
  <c r="I13" i="10"/>
  <c r="I25" i="10"/>
  <c r="I39" i="10" s="1"/>
  <c r="I18" i="16" s="1"/>
  <c r="H26" i="10"/>
  <c r="H41" i="10"/>
  <c r="K7" i="10"/>
  <c r="J8" i="10"/>
  <c r="J9" i="10" s="1"/>
  <c r="J12" i="10" s="1"/>
  <c r="O38" i="10"/>
  <c r="G42" i="10"/>
  <c r="G47" i="10"/>
  <c r="L20" i="10"/>
  <c r="L21" i="10" s="1"/>
  <c r="M16" i="10"/>
  <c r="M24" i="10"/>
  <c r="F49" i="10" l="1"/>
  <c r="G48" i="10" s="1"/>
  <c r="M20" i="10"/>
  <c r="M21" i="10" s="1"/>
  <c r="N16" i="10"/>
  <c r="H47" i="10"/>
  <c r="H42" i="10"/>
  <c r="P38" i="10"/>
  <c r="J13" i="10"/>
  <c r="J25" i="10"/>
  <c r="J39" i="10" s="1"/>
  <c r="I26" i="10"/>
  <c r="I41" i="10"/>
  <c r="L7" i="10"/>
  <c r="K8" i="10"/>
  <c r="K9" i="10" s="1"/>
  <c r="K12" i="10" s="1"/>
  <c r="N24" i="10"/>
  <c r="G51" i="10" l="1"/>
  <c r="G52" i="10" s="1"/>
  <c r="G49" i="10"/>
  <c r="H48" i="10" s="1"/>
  <c r="K13" i="10"/>
  <c r="K25" i="10"/>
  <c r="K39" i="10" s="1"/>
  <c r="J26" i="10"/>
  <c r="J41" i="10"/>
  <c r="N20" i="10"/>
  <c r="N21" i="10" s="1"/>
  <c r="O16" i="10"/>
  <c r="M7" i="10"/>
  <c r="L8" i="10"/>
  <c r="L9" i="10" s="1"/>
  <c r="L12" i="10" s="1"/>
  <c r="Q38" i="10"/>
  <c r="I42" i="10"/>
  <c r="J18" i="16" s="1"/>
  <c r="I47" i="10"/>
  <c r="O24" i="10"/>
  <c r="H49" i="10" l="1"/>
  <c r="I48" i="10" s="1"/>
  <c r="H51" i="10"/>
  <c r="H52" i="10" s="1"/>
  <c r="L13" i="10"/>
  <c r="L25" i="10"/>
  <c r="L39" i="10" s="1"/>
  <c r="J42" i="10"/>
  <c r="J47" i="10"/>
  <c r="N7" i="10"/>
  <c r="M8" i="10"/>
  <c r="M9" i="10" s="1"/>
  <c r="M12" i="10" s="1"/>
  <c r="P16" i="10"/>
  <c r="O20" i="10"/>
  <c r="O21" i="10" s="1"/>
  <c r="K41" i="10"/>
  <c r="K26" i="10"/>
  <c r="R38" i="10"/>
  <c r="P24" i="10"/>
  <c r="I49" i="10" l="1"/>
  <c r="J48" i="10" s="1"/>
  <c r="I51" i="10"/>
  <c r="I52" i="10" s="1"/>
  <c r="Q16" i="10"/>
  <c r="P20" i="10"/>
  <c r="P21" i="10" s="1"/>
  <c r="M13" i="10"/>
  <c r="M25" i="10"/>
  <c r="M39" i="10" s="1"/>
  <c r="L41" i="10"/>
  <c r="L26" i="10"/>
  <c r="S38" i="10"/>
  <c r="K47" i="10"/>
  <c r="K42" i="10"/>
  <c r="O7" i="10"/>
  <c r="N8" i="10"/>
  <c r="N9" i="10" s="1"/>
  <c r="N12" i="10" s="1"/>
  <c r="Q24" i="10"/>
  <c r="J49" i="10" l="1"/>
  <c r="K48" i="10" s="1"/>
  <c r="J51" i="10"/>
  <c r="J52" i="10" s="1"/>
  <c r="L47" i="10"/>
  <c r="L42" i="10"/>
  <c r="N13" i="10"/>
  <c r="N25" i="10"/>
  <c r="N39" i="10" s="1"/>
  <c r="I19" i="16" s="1"/>
  <c r="M41" i="10"/>
  <c r="M26" i="10"/>
  <c r="P7" i="10"/>
  <c r="O8" i="10"/>
  <c r="O9" i="10" s="1"/>
  <c r="O12" i="10" s="1"/>
  <c r="T38" i="10"/>
  <c r="R16" i="10"/>
  <c r="Q20" i="10"/>
  <c r="Q21" i="10" s="1"/>
  <c r="R24" i="10"/>
  <c r="K49" i="10" l="1"/>
  <c r="L48" i="10" s="1"/>
  <c r="K51" i="10"/>
  <c r="K52" i="10" s="1"/>
  <c r="U38" i="10"/>
  <c r="M42" i="10"/>
  <c r="M47" i="10"/>
  <c r="O13" i="10"/>
  <c r="O25" i="10"/>
  <c r="O39" i="10" s="1"/>
  <c r="R20" i="10"/>
  <c r="R21" i="10" s="1"/>
  <c r="S16" i="10"/>
  <c r="Q7" i="10"/>
  <c r="P8" i="10"/>
  <c r="P9" i="10" s="1"/>
  <c r="P12" i="10" s="1"/>
  <c r="P25" i="10" s="1"/>
  <c r="N26" i="10"/>
  <c r="N41" i="10"/>
  <c r="S24" i="10"/>
  <c r="L49" i="10" l="1"/>
  <c r="M48" i="10" s="1"/>
  <c r="L51" i="10"/>
  <c r="L52" i="10" s="1"/>
  <c r="N42" i="10"/>
  <c r="J19" i="16" s="1"/>
  <c r="N47" i="10"/>
  <c r="T16" i="10"/>
  <c r="S20" i="10"/>
  <c r="S21" i="10" s="1"/>
  <c r="P13" i="10"/>
  <c r="P39" i="10"/>
  <c r="O26" i="10"/>
  <c r="O41" i="10"/>
  <c r="R7" i="10"/>
  <c r="Q8" i="10"/>
  <c r="Q9" i="10" s="1"/>
  <c r="Q12" i="10" s="1"/>
  <c r="V38" i="10"/>
  <c r="T24" i="10"/>
  <c r="M49" i="10" l="1"/>
  <c r="N48" i="10" s="1"/>
  <c r="C54" i="10" s="1"/>
  <c r="M51" i="10"/>
  <c r="M52" i="10" s="1"/>
  <c r="O42" i="10"/>
  <c r="O47" i="10"/>
  <c r="X38" i="10"/>
  <c r="W38" i="10"/>
  <c r="U16" i="10"/>
  <c r="T20" i="10"/>
  <c r="T21" i="10" s="1"/>
  <c r="Q13" i="10"/>
  <c r="Q25" i="10"/>
  <c r="Q39" i="10" s="1"/>
  <c r="P26" i="10"/>
  <c r="P41" i="10"/>
  <c r="S7" i="10"/>
  <c r="R8" i="10"/>
  <c r="R9" i="10" s="1"/>
  <c r="R12" i="10" s="1"/>
  <c r="U24" i="10"/>
  <c r="N49" i="10" l="1"/>
  <c r="O48" i="10" s="1"/>
  <c r="N51" i="10"/>
  <c r="N52" i="10" s="1"/>
  <c r="H33" i="17"/>
  <c r="E166" i="4"/>
  <c r="E167" i="4" s="1"/>
  <c r="G169" i="4" s="1"/>
  <c r="T7" i="10"/>
  <c r="S8" i="10"/>
  <c r="S9" i="10" s="1"/>
  <c r="S12" i="10" s="1"/>
  <c r="R13" i="10"/>
  <c r="R25" i="10"/>
  <c r="R39" i="10" s="1"/>
  <c r="Q41" i="10"/>
  <c r="Q26" i="10"/>
  <c r="P47" i="10"/>
  <c r="P42" i="10"/>
  <c r="V16" i="10"/>
  <c r="U20" i="10"/>
  <c r="U21" i="10" s="1"/>
  <c r="V24" i="10"/>
  <c r="O49" i="10" l="1"/>
  <c r="P48" i="10" s="1"/>
  <c r="P49" i="10" s="1"/>
  <c r="O51" i="10"/>
  <c r="O52" i="10" s="1"/>
  <c r="E169" i="4"/>
  <c r="G171" i="4"/>
  <c r="R26" i="10"/>
  <c r="R41" i="10"/>
  <c r="S13" i="10"/>
  <c r="S25" i="10"/>
  <c r="S39" i="10" s="1"/>
  <c r="W16" i="10"/>
  <c r="V20" i="10"/>
  <c r="V21" i="10" s="1"/>
  <c r="Q42" i="10"/>
  <c r="Q47" i="10"/>
  <c r="U7" i="10"/>
  <c r="T8" i="10"/>
  <c r="T9" i="10" s="1"/>
  <c r="T12" i="10" s="1"/>
  <c r="W24" i="10"/>
  <c r="Q48" i="10" l="1"/>
  <c r="Q49" i="10" s="1"/>
  <c r="I20" i="16"/>
  <c r="H31" i="17"/>
  <c r="I31" i="17" s="1"/>
  <c r="E171" i="4"/>
  <c r="G173" i="4"/>
  <c r="P51" i="10"/>
  <c r="P52" i="10" s="1"/>
  <c r="S41" i="10"/>
  <c r="S26" i="10"/>
  <c r="T13" i="10"/>
  <c r="T25" i="10"/>
  <c r="T39" i="10" s="1"/>
  <c r="R47" i="10"/>
  <c r="R42" i="10"/>
  <c r="V7" i="10"/>
  <c r="U8" i="10"/>
  <c r="U9" i="10" s="1"/>
  <c r="U12" i="10" s="1"/>
  <c r="W20" i="10"/>
  <c r="W21" i="10" s="1"/>
  <c r="X16" i="10"/>
  <c r="X20" i="10" s="1"/>
  <c r="X21" i="10" s="1"/>
  <c r="X24" i="10"/>
  <c r="R48" i="10" l="1"/>
  <c r="R49" i="10" s="1"/>
  <c r="Q51" i="10"/>
  <c r="Q52" i="10" s="1"/>
  <c r="E173" i="4"/>
  <c r="F11" i="21"/>
  <c r="F12" i="21" s="1"/>
  <c r="F16" i="21" s="1"/>
  <c r="F18" i="21" s="1"/>
  <c r="F20" i="21" s="1"/>
  <c r="U13" i="10"/>
  <c r="U25" i="10"/>
  <c r="U39" i="10" s="1"/>
  <c r="T26" i="10"/>
  <c r="T41" i="10"/>
  <c r="W7" i="10"/>
  <c r="V8" i="10"/>
  <c r="V9" i="10" s="1"/>
  <c r="V12" i="10" s="1"/>
  <c r="S47" i="10"/>
  <c r="S42" i="10"/>
  <c r="J20" i="16" s="1"/>
  <c r="S48" i="10" l="1"/>
  <c r="S49" i="10" s="1"/>
  <c r="R51" i="10"/>
  <c r="R52" i="10" s="1"/>
  <c r="U26" i="10"/>
  <c r="U41" i="10"/>
  <c r="V13" i="10"/>
  <c r="V25" i="10"/>
  <c r="V39" i="10" s="1"/>
  <c r="X7" i="10"/>
  <c r="X8" i="10" s="1"/>
  <c r="X9" i="10" s="1"/>
  <c r="X12" i="10" s="1"/>
  <c r="W8" i="10"/>
  <c r="W9" i="10" s="1"/>
  <c r="W12" i="10" s="1"/>
  <c r="T47" i="10"/>
  <c r="T42" i="10"/>
  <c r="T48" i="10" l="1"/>
  <c r="T49" i="10" s="1"/>
  <c r="S51" i="10"/>
  <c r="S52" i="10" s="1"/>
  <c r="V41" i="10"/>
  <c r="V26" i="10"/>
  <c r="W13" i="10"/>
  <c r="W25" i="10"/>
  <c r="W39" i="10" s="1"/>
  <c r="U47" i="10"/>
  <c r="U42" i="10"/>
  <c r="X13" i="10"/>
  <c r="X25" i="10"/>
  <c r="X39" i="10" s="1"/>
  <c r="U48" i="10" l="1"/>
  <c r="U49" i="10" s="1"/>
  <c r="T51" i="10"/>
  <c r="T52" i="10" s="1"/>
  <c r="W26" i="10"/>
  <c r="W41" i="10"/>
  <c r="X26" i="10"/>
  <c r="X41" i="10"/>
  <c r="V47" i="10"/>
  <c r="V42" i="10"/>
  <c r="V48" i="10" l="1"/>
  <c r="V49" i="10" s="1"/>
  <c r="U51" i="10"/>
  <c r="U52" i="10" s="1"/>
  <c r="W42" i="10"/>
  <c r="W47" i="10"/>
  <c r="X42" i="10"/>
  <c r="X47" i="10"/>
  <c r="W48" i="10" l="1"/>
  <c r="W49" i="10" s="1"/>
  <c r="V51" i="10"/>
  <c r="V52" i="10" s="1"/>
  <c r="X48" i="10" l="1"/>
  <c r="X49" i="10" s="1"/>
  <c r="W51" i="10"/>
  <c r="W52" i="10" s="1"/>
  <c r="X51" i="10" l="1"/>
  <c r="X52" i="10" s="1"/>
  <c r="F1" i="10"/>
  <c r="B1" i="21"/>
  <c r="B3" i="20"/>
  <c r="B4" i="6"/>
  <c r="A3" i="17"/>
  <c r="B3" i="11"/>
  <c r="B3" i="22"/>
  <c r="A1" i="6"/>
  <c r="B1" i="10"/>
  <c r="B1" i="11"/>
  <c r="A1" i="8"/>
  <c r="B1" i="4"/>
  <c r="A1" i="16"/>
  <c r="A1" i="17"/>
</calcChain>
</file>

<file path=xl/sharedStrings.xml><?xml version="1.0" encoding="utf-8"?>
<sst xmlns="http://schemas.openxmlformats.org/spreadsheetml/2006/main" count="1128" uniqueCount="809">
  <si>
    <t>OPERATING EXPENSES</t>
  </si>
  <si>
    <t>Reserve For Replacement</t>
  </si>
  <si>
    <t>Debt Coverage Ratio (DCR)</t>
  </si>
  <si>
    <t>Interest</t>
  </si>
  <si>
    <t>AHTF</t>
  </si>
  <si>
    <t>Total Administrative</t>
  </si>
  <si>
    <t>Total Operating/Maintenance</t>
  </si>
  <si>
    <t>Total Utilities</t>
  </si>
  <si>
    <t>Total Taxes/Insurance</t>
  </si>
  <si>
    <t>Builder's Overhead</t>
  </si>
  <si>
    <t>General Requirements</t>
  </si>
  <si>
    <t>Builder's Profit</t>
  </si>
  <si>
    <t>Architect Fees</t>
  </si>
  <si>
    <t>Engineering Fees</t>
  </si>
  <si>
    <t>Construction Interest</t>
  </si>
  <si>
    <t>Property Taxes</t>
  </si>
  <si>
    <t>Construction Contingency</t>
  </si>
  <si>
    <t>Consulting Fee</t>
  </si>
  <si>
    <t>Survey</t>
  </si>
  <si>
    <t>Market Study</t>
  </si>
  <si>
    <t>Cost Certification</t>
  </si>
  <si>
    <t>Bridge Loan Fees</t>
  </si>
  <si>
    <t>Environmental Study</t>
  </si>
  <si>
    <t>Building Acquisition</t>
  </si>
  <si>
    <t>Builder's Risk Insurance</t>
  </si>
  <si>
    <t>Construction Manager's Fee</t>
  </si>
  <si>
    <t>Permanent Financing Fees</t>
  </si>
  <si>
    <t>Construction Financing Fees</t>
  </si>
  <si>
    <t>Marketing</t>
  </si>
  <si>
    <t>Building Permits/Fees</t>
  </si>
  <si>
    <t>USES OF FUNDING</t>
  </si>
  <si>
    <t>Administrative</t>
  </si>
  <si>
    <t xml:space="preserve">Advertising </t>
  </si>
  <si>
    <t>Office Salaries</t>
  </si>
  <si>
    <t>Office Supplies</t>
  </si>
  <si>
    <t>Management Fee</t>
  </si>
  <si>
    <t>Manager(s) Salaries</t>
  </si>
  <si>
    <t>Legal Auditing</t>
  </si>
  <si>
    <t>Accounting Services</t>
  </si>
  <si>
    <t>Telephone</t>
  </si>
  <si>
    <t>Operating/Maintenance</t>
  </si>
  <si>
    <t>Janitorial Services</t>
  </si>
  <si>
    <t>Exterminating Contract</t>
  </si>
  <si>
    <t>Waste Collection</t>
  </si>
  <si>
    <t>Security Payroll/Contract</t>
  </si>
  <si>
    <t>Repairs/Maintenance</t>
  </si>
  <si>
    <t>Utilities</t>
  </si>
  <si>
    <t>Electricity</t>
  </si>
  <si>
    <t>Gas</t>
  </si>
  <si>
    <t>Water</t>
  </si>
  <si>
    <t>Sewer</t>
  </si>
  <si>
    <t>Taxes/Insurance</t>
  </si>
  <si>
    <t>Real Estate Taxes</t>
  </si>
  <si>
    <t>Payroll Taxes</t>
  </si>
  <si>
    <t>Workmen's Comp.</t>
  </si>
  <si>
    <t>Cooking</t>
  </si>
  <si>
    <t>Hot Water</t>
  </si>
  <si>
    <t>Heating</t>
  </si>
  <si>
    <t>Air Conditioning</t>
  </si>
  <si>
    <t>TOTAL</t>
  </si>
  <si>
    <t>Total Units:</t>
  </si>
  <si>
    <t>Other, Lighting</t>
  </si>
  <si>
    <t>Trash Collection</t>
  </si>
  <si>
    <t>High HOME Rents</t>
  </si>
  <si>
    <t>Low HOME Rents</t>
  </si>
  <si>
    <t>SMAL Rents</t>
  </si>
  <si>
    <t>Utility Allowances</t>
  </si>
  <si>
    <t>Amount</t>
  </si>
  <si>
    <t>Earth Work</t>
  </si>
  <si>
    <t>Demolition</t>
  </si>
  <si>
    <t>Roads/Walks</t>
  </si>
  <si>
    <t>Site Utilities</t>
  </si>
  <si>
    <t>Unusual Site Conditions</t>
  </si>
  <si>
    <t>Bedroom Type</t>
  </si>
  <si>
    <t>No.of Units</t>
  </si>
  <si>
    <t>0 Bedroom</t>
  </si>
  <si>
    <t>1 Bedroom</t>
  </si>
  <si>
    <t>2 Bedroom</t>
  </si>
  <si>
    <t>3 Bedroom</t>
  </si>
  <si>
    <t>4 Bedroom</t>
  </si>
  <si>
    <t>Affordability Period</t>
  </si>
  <si>
    <t>Cost per Unit Type</t>
  </si>
  <si>
    <t>Administrative Rent Free Unit(s)</t>
  </si>
  <si>
    <t>Electric</t>
  </si>
  <si>
    <t>HOME units</t>
  </si>
  <si>
    <t>Unit Limit</t>
  </si>
  <si>
    <t>Year 1</t>
  </si>
  <si>
    <t>Year 4</t>
  </si>
  <si>
    <t>Year 5</t>
  </si>
  <si>
    <t>Operating Subsidies</t>
  </si>
  <si>
    <t>Match Requirements</t>
  </si>
  <si>
    <t>Other KHC Funds Match</t>
  </si>
  <si>
    <t>Match Provided</t>
  </si>
  <si>
    <t>Volunteer labor</t>
  </si>
  <si>
    <t>Donated materials</t>
  </si>
  <si>
    <t>Land Acquisition</t>
  </si>
  <si>
    <t>Building Costs</t>
  </si>
  <si>
    <t>Building - New Construction Costs</t>
  </si>
  <si>
    <t>Appliances</t>
  </si>
  <si>
    <t>Site Work</t>
  </si>
  <si>
    <t>Lawn/Plantings</t>
  </si>
  <si>
    <t>Off Site Work</t>
  </si>
  <si>
    <t>Contractor Fees</t>
  </si>
  <si>
    <t>Payment and Performance Bond</t>
  </si>
  <si>
    <t>Builder's Liability Insurance</t>
  </si>
  <si>
    <t>Other Hard Costs</t>
  </si>
  <si>
    <t xml:space="preserve">Other:  </t>
  </si>
  <si>
    <t>CONSTRUCTION CONTINGENCY</t>
  </si>
  <si>
    <t>Construction Interim Costs</t>
  </si>
  <si>
    <t>Construction Title and Recording</t>
  </si>
  <si>
    <t>Construction Liability Insurance</t>
  </si>
  <si>
    <t>Construction Hazard Insurance</t>
  </si>
  <si>
    <t>Construction Loan Points</t>
  </si>
  <si>
    <t>Other Construction Finance Fees</t>
  </si>
  <si>
    <t>Construction Legal Fees</t>
  </si>
  <si>
    <t>Construction Credit Enhancement</t>
  </si>
  <si>
    <t>Permanent Financing</t>
  </si>
  <si>
    <t>Permanent Title and Recording</t>
  </si>
  <si>
    <t>Permanent Loan Points</t>
  </si>
  <si>
    <t>Other Permanent Loan Financing Fees</t>
  </si>
  <si>
    <t>Permanent Credit Enhancement</t>
  </si>
  <si>
    <t>Permanent Legal Fee</t>
  </si>
  <si>
    <t>Professional Fees</t>
  </si>
  <si>
    <t>Reserves</t>
  </si>
  <si>
    <t>Rent Up Reserves</t>
  </si>
  <si>
    <t>Escrows</t>
  </si>
  <si>
    <t>Replacement Reserve Deposit</t>
  </si>
  <si>
    <t>Syndication Costs</t>
  </si>
  <si>
    <t>Other Syndication Expenses</t>
  </si>
  <si>
    <t>Bridge Loan Legal Fees</t>
  </si>
  <si>
    <t>Syndication Legal Fees</t>
  </si>
  <si>
    <t>Syndication Organization Expenses</t>
  </si>
  <si>
    <t>Other Soft Costs</t>
  </si>
  <si>
    <t>Appraisal</t>
  </si>
  <si>
    <t>Developer's Fee</t>
  </si>
  <si>
    <t xml:space="preserve">Developer Fee  </t>
  </si>
  <si>
    <t>ACQUISITION</t>
  </si>
  <si>
    <t>TOTAL ACQUISITION</t>
  </si>
  <si>
    <t>H</t>
  </si>
  <si>
    <t>Other:</t>
  </si>
  <si>
    <t>Gross Square Footage</t>
  </si>
  <si>
    <t>Total Development Costs</t>
  </si>
  <si>
    <t>Maximum Cost Limit</t>
  </si>
  <si>
    <t>0 BR</t>
  </si>
  <si>
    <t>1 BR</t>
  </si>
  <si>
    <t>2 BR</t>
  </si>
  <si>
    <t>3 BR</t>
  </si>
  <si>
    <t>4 BR</t>
  </si>
  <si>
    <t>Deferred Developer Fee</t>
  </si>
  <si>
    <t>Year</t>
  </si>
  <si>
    <t>TOTAL COST</t>
  </si>
  <si>
    <t>ELIGIBLE BASIS</t>
  </si>
  <si>
    <t>ADJUSTED ELIGIBLE BASIS</t>
  </si>
  <si>
    <r>
      <t xml:space="preserve">   </t>
    </r>
    <r>
      <rPr>
        <sz val="12"/>
        <rFont val="Arial"/>
        <family val="2"/>
      </rPr>
      <t>Applicable Fraction</t>
    </r>
  </si>
  <si>
    <t>QUALIFIED BASIS</t>
  </si>
  <si>
    <r>
      <t xml:space="preserve">     </t>
    </r>
    <r>
      <rPr>
        <sz val="12"/>
        <rFont val="Arial"/>
        <family val="2"/>
      </rPr>
      <t>Tax Credit Rate</t>
    </r>
  </si>
  <si>
    <t>MAXIMUM ANNUAL TAX CREDIT</t>
  </si>
  <si>
    <t>SMAL units</t>
  </si>
  <si>
    <t>AHTF units</t>
  </si>
  <si>
    <t>Lien Position</t>
  </si>
  <si>
    <t>Source:</t>
  </si>
  <si>
    <t>Per Unit</t>
  </si>
  <si>
    <t>Cash Flow Per Unit</t>
  </si>
  <si>
    <t>Minimum</t>
  </si>
  <si>
    <t>Unit Mix</t>
  </si>
  <si>
    <t>Operating Budget</t>
  </si>
  <si>
    <t>Adjusted Gross Income</t>
  </si>
  <si>
    <t>Other Income</t>
  </si>
  <si>
    <t>Vacancy</t>
  </si>
  <si>
    <t>Replacement Reserve</t>
  </si>
  <si>
    <t>Net Operating Income</t>
  </si>
  <si>
    <t>Debt Service</t>
  </si>
  <si>
    <t>Annual</t>
  </si>
  <si>
    <t>Development Costs</t>
  </si>
  <si>
    <t>Acquisition</t>
  </si>
  <si>
    <t>Hard Costs</t>
  </si>
  <si>
    <t>Soft Costs</t>
  </si>
  <si>
    <t>Developer Fee</t>
  </si>
  <si>
    <t>Total</t>
  </si>
  <si>
    <t>LIHTC Equity</t>
  </si>
  <si>
    <t>Other Equity/Grants</t>
  </si>
  <si>
    <t>(Gap) or Surplus</t>
  </si>
  <si>
    <t>Year 10</t>
  </si>
  <si>
    <t>Year 15</t>
  </si>
  <si>
    <t>% of Total</t>
  </si>
  <si>
    <t>Deferred Dev Fee</t>
  </si>
  <si>
    <t>Efficiency</t>
  </si>
  <si>
    <t>Magoffin County</t>
  </si>
  <si>
    <t>Key Assumptions</t>
  </si>
  <si>
    <t>Effective Gross Income</t>
  </si>
  <si>
    <t>Expense Inflation:</t>
  </si>
  <si>
    <t xml:space="preserve">Other: </t>
  </si>
  <si>
    <t>Total Development Costs:</t>
  </si>
  <si>
    <t>TDC Per Unit:</t>
  </si>
  <si>
    <t># of Units</t>
  </si>
  <si>
    <t>Monthly Rent</t>
  </si>
  <si>
    <t>Annual Rent</t>
  </si>
  <si>
    <t>Total Sq Footage</t>
  </si>
  <si>
    <t>Subtotal</t>
  </si>
  <si>
    <t>Monthly</t>
  </si>
  <si>
    <t>Annually</t>
  </si>
  <si>
    <t>Laundry</t>
  </si>
  <si>
    <t>Common Area(s) Square Footage</t>
  </si>
  <si>
    <t>Total Square Footage:</t>
  </si>
  <si>
    <t>Parking</t>
  </si>
  <si>
    <t>Rent Inflation Year 1-3:</t>
  </si>
  <si>
    <t>Operating Cash Flow</t>
  </si>
  <si>
    <t>Tax Credit Project: Eligible Costs</t>
  </si>
  <si>
    <t>0 Bedroom Units</t>
  </si>
  <si>
    <t>1 Bedroom Units</t>
  </si>
  <si>
    <t>2 Bedroom Units</t>
  </si>
  <si>
    <t>3 Bedroom Units</t>
  </si>
  <si>
    <t>4 Bedroom Units</t>
  </si>
  <si>
    <t>Square Footage</t>
  </si>
  <si>
    <t>Contract Rent + Utility Allowance</t>
  </si>
  <si>
    <t>Rent from Commercial Space</t>
  </si>
  <si>
    <t>Total Units</t>
  </si>
  <si>
    <t xml:space="preserve">Monthly </t>
  </si>
  <si>
    <t xml:space="preserve">Annual </t>
  </si>
  <si>
    <t>Square Footage Per Unit</t>
  </si>
  <si>
    <t>Per Unit Average Rent</t>
  </si>
  <si>
    <t>Square Footage of Residential Units</t>
  </si>
  <si>
    <t>Residential Units:</t>
  </si>
  <si>
    <t>Target Population:</t>
  </si>
  <si>
    <t xml:space="preserve">Total </t>
  </si>
  <si>
    <t>Construction Type:</t>
  </si>
  <si>
    <t>Additional Unit Type:</t>
  </si>
  <si>
    <t>Primary Unit Type:</t>
  </si>
  <si>
    <t>PROJECT SUMMARY</t>
  </si>
  <si>
    <t>UNITS &amp; INCOME</t>
  </si>
  <si>
    <t>ANNUAL OPERATING EXPENSES</t>
  </si>
  <si>
    <t>Total Residential Square Feet:</t>
  </si>
  <si>
    <t>Rehabilitation</t>
  </si>
  <si>
    <t>Target population:</t>
  </si>
  <si>
    <t>Total Operating Expenses</t>
  </si>
  <si>
    <t>Source 1:</t>
  </si>
  <si>
    <t>Source 2:</t>
  </si>
  <si>
    <t>Source 3:</t>
  </si>
  <si>
    <t>Total Other Income:</t>
  </si>
  <si>
    <t>Total Debt Service</t>
  </si>
  <si>
    <t>Net Operating Income (NOI)</t>
  </si>
  <si>
    <t>DEBT SERVICE</t>
  </si>
  <si>
    <t>REVENUE</t>
  </si>
  <si>
    <t>Gross Rent Potential</t>
  </si>
  <si>
    <t>Inflation Factor</t>
  </si>
  <si>
    <t>Per Unit Per Year</t>
  </si>
  <si>
    <t>CASH FLOW</t>
  </si>
  <si>
    <t>Please Manually Input:</t>
  </si>
  <si>
    <t>Deferred Developer Fee Repayment</t>
  </si>
  <si>
    <t>Per Unit Cost</t>
  </si>
  <si>
    <t>Maximum</t>
  </si>
  <si>
    <t>Debt Coverage Ratio Year 1</t>
  </si>
  <si>
    <t>Operating Costs &amp; Inflation Factors</t>
  </si>
  <si>
    <t>Development &amp; Construction Costs</t>
  </si>
  <si>
    <t>New Construction</t>
  </si>
  <si>
    <t>Mortgage Insurance for Risk Sharing</t>
  </si>
  <si>
    <t>Sources &amp; Uses</t>
  </si>
  <si>
    <t>Annual Operating Costs Per Unit</t>
  </si>
  <si>
    <t>Property Insurance (Per Unit Per Year)</t>
  </si>
  <si>
    <t>TOTAL HARD COSTS</t>
  </si>
  <si>
    <t>HARD COSTS</t>
  </si>
  <si>
    <t>% EGI</t>
  </si>
  <si>
    <t>HOME Compliance</t>
  </si>
  <si>
    <t>OR</t>
  </si>
  <si>
    <t>Whichever is HIGHER</t>
  </si>
  <si>
    <t># of Low HOME Units Required</t>
  </si>
  <si>
    <t>Minimum HOME Affordability Period</t>
  </si>
  <si>
    <t>HOME Subsidy Per Unit</t>
  </si>
  <si>
    <t>Breakdown of HOME Units Required by Bedroom Type:</t>
  </si>
  <si>
    <t xml:space="preserve">Bedrooms </t>
  </si>
  <si>
    <t>HOME as % TDC</t>
  </si>
  <si>
    <t>Required HOME Units</t>
  </si>
  <si>
    <t>HOME Requirement</t>
  </si>
  <si>
    <t># of HOME-Assisted Units</t>
  </si>
  <si>
    <t>(Must match or exceed requirements listed above.)</t>
  </si>
  <si>
    <t>Match Compliance</t>
  </si>
  <si>
    <t>HOME Funds Requested</t>
  </si>
  <si>
    <t># High HOME Units</t>
  </si>
  <si>
    <t># Low HOME Units</t>
  </si>
  <si>
    <t>Within Limits?</t>
  </si>
  <si>
    <t>Maximum Development Cost Allowable:</t>
  </si>
  <si>
    <t># Units</t>
  </si>
  <si>
    <t>TDC as % of Cost Containment</t>
  </si>
  <si>
    <t>Other Income/Subsidies</t>
  </si>
  <si>
    <t>Vacancy Rate Year 1-3:</t>
  </si>
  <si>
    <t>Yrs 1-3</t>
  </si>
  <si>
    <t>Yrs 4+</t>
  </si>
  <si>
    <t>Vacancy Rate: Year 4+</t>
  </si>
  <si>
    <t>Rent Inflation Year 4+:</t>
  </si>
  <si>
    <t>Operating Expenses</t>
  </si>
  <si>
    <t>Cash Flow Year 1</t>
  </si>
  <si>
    <t>Equity Sources</t>
  </si>
  <si>
    <t>MTM Cash Flow Loan</t>
  </si>
  <si>
    <t>Debt Sources</t>
  </si>
  <si>
    <t>Gross Maximum per</t>
  </si>
  <si>
    <t>Required Unit Distribution by Funding Source</t>
  </si>
  <si>
    <t>% of Sources</t>
  </si>
  <si>
    <t>Min. Low HOME Units:</t>
  </si>
  <si>
    <t>Minimum Units</t>
  </si>
  <si>
    <t>Funding Source</t>
  </si>
  <si>
    <t xml:space="preserve">HOME Match </t>
  </si>
  <si>
    <t>Match %</t>
  </si>
  <si>
    <t>Actual Breakdown of HOME Units:</t>
  </si>
  <si>
    <t>Group Home?</t>
  </si>
  <si>
    <t xml:space="preserve">Group homes not defined as a SRO or 1-bedroom unit are limited to $150 per square foot. </t>
  </si>
  <si>
    <t>Development Cost Containment Limits</t>
  </si>
  <si>
    <t>Group Home Development Cost Limits</t>
  </si>
  <si>
    <t>15 years</t>
  </si>
  <si>
    <t>Oven/Range</t>
  </si>
  <si>
    <t>Microwave</t>
  </si>
  <si>
    <t>Dishwasher</t>
  </si>
  <si>
    <t>Garbage Disposal</t>
  </si>
  <si>
    <t>Washer/Dryer</t>
  </si>
  <si>
    <t>DCR</t>
  </si>
  <si>
    <t>Amenities Included in Units:</t>
  </si>
  <si>
    <t>Allowance for Utilities Paid by Tenant Only</t>
  </si>
  <si>
    <t>Developer Notes</t>
  </si>
  <si>
    <t>Amount Available During Construction</t>
  </si>
  <si>
    <t>Relocation</t>
  </si>
  <si>
    <r>
      <rPr>
        <b/>
        <u/>
        <sz val="11"/>
        <rFont val="Arial"/>
        <family val="2"/>
      </rPr>
      <t>Non-Tax Credit Project</t>
    </r>
    <r>
      <rPr>
        <sz val="11"/>
        <rFont val="Arial"/>
        <family val="2"/>
      </rPr>
      <t xml:space="preserve"> OR Excluded from Tax Credit Basis</t>
    </r>
  </si>
  <si>
    <t>KHC Tax Credit Application Fees</t>
  </si>
  <si>
    <t>TOTAL DEVELOPMENT COSTS</t>
  </si>
  <si>
    <r>
      <t xml:space="preserve">Gross Rent Potential </t>
    </r>
    <r>
      <rPr>
        <i/>
        <sz val="11"/>
        <rFont val="Arial"/>
        <family val="2"/>
      </rPr>
      <t>(Excluding Utilities)</t>
    </r>
  </si>
  <si>
    <t>Federal Grant?</t>
  </si>
  <si>
    <t>Rent Restriction Program</t>
  </si>
  <si>
    <t>Income Restriction</t>
  </si>
  <si>
    <t>Unit Distribution</t>
  </si>
  <si>
    <t>% TDC</t>
  </si>
  <si>
    <t>of Hard Costs</t>
  </si>
  <si>
    <t>of TDC</t>
  </si>
  <si>
    <t>Housing Credit Unit(s)?</t>
  </si>
  <si>
    <t>Market Rate (Unrestricted)</t>
  </si>
  <si>
    <r>
      <t xml:space="preserve">Proposed Contract Rent </t>
    </r>
    <r>
      <rPr>
        <i/>
        <sz val="9"/>
        <rFont val="Arial"/>
        <family val="2"/>
      </rPr>
      <t>(excludes utility allowance)</t>
    </r>
  </si>
  <si>
    <t>Square Footage of Housing Credit Units</t>
  </si>
  <si>
    <t>SF Housing Credit Units Only</t>
  </si>
  <si>
    <t>Housing Credit Units</t>
  </si>
  <si>
    <t># Housing Credit Units</t>
  </si>
  <si>
    <t>Unrestricted</t>
  </si>
  <si>
    <t>Project Totals</t>
  </si>
  <si>
    <t>1-BR</t>
  </si>
  <si>
    <t>2-BR</t>
  </si>
  <si>
    <t>3-BR</t>
  </si>
  <si>
    <t>4-BR</t>
  </si>
  <si>
    <t>Developer Equity (Self-Financing)</t>
  </si>
  <si>
    <t>Federal Grants</t>
  </si>
  <si>
    <t>Permanent Debt Sources:</t>
  </si>
  <si>
    <t>Permanent Equity Sources:</t>
  </si>
  <si>
    <t xml:space="preserve">SOURCES OF FUNDING </t>
  </si>
  <si>
    <t>Tenant Utilities</t>
  </si>
  <si>
    <t>Responsible Party</t>
  </si>
  <si>
    <t>Lowest Allowed DCR for all 15 Years</t>
  </si>
  <si>
    <t>Property Insurance</t>
  </si>
  <si>
    <t>Other Insurance</t>
  </si>
  <si>
    <t>Default is 7%; applicant may modify with justification.</t>
  </si>
  <si>
    <t>Default is 3%; applicant may modify with justification.</t>
  </si>
  <si>
    <t>Vacancy Rate Year 1-3</t>
  </si>
  <si>
    <t>Vacancy Rate Year 4-15</t>
  </si>
  <si>
    <t>Vacancy Rates</t>
  </si>
  <si>
    <t>Rent Inflation</t>
  </si>
  <si>
    <t>Operating Cost Inflation Rates</t>
  </si>
  <si>
    <t>Applicant's #</t>
  </si>
  <si>
    <t>Minimum per unit per year based on construction; applicant may increase.</t>
  </si>
  <si>
    <t>% of TDC, excluding Dev/Con Fees</t>
  </si>
  <si>
    <t>% of Effective Gross Income</t>
  </si>
  <si>
    <t>Default is 2%; applicant may modify with justification.</t>
  </si>
  <si>
    <t>Describe repayment of cash flow loan:</t>
  </si>
  <si>
    <t>Estimated Credit Pricing:</t>
  </si>
  <si>
    <t>Unpaid Developer Fee after Year 10:</t>
  </si>
  <si>
    <t>Refrigerator</t>
  </si>
  <si>
    <t>Utility</t>
  </si>
  <si>
    <t>Housing Credit 50% Rents</t>
  </si>
  <si>
    <t xml:space="preserve">Housing Credit 60% Rents </t>
  </si>
  <si>
    <t>Commercial Square Footage:</t>
  </si>
  <si>
    <t>Total Operating Subsidy:</t>
  </si>
  <si>
    <t>Effective Gross Income (Net Income)</t>
  </si>
  <si>
    <t>Boone</t>
  </si>
  <si>
    <t>Bourbon</t>
  </si>
  <si>
    <t>Boyd</t>
  </si>
  <si>
    <t>Boyle</t>
  </si>
  <si>
    <t>Bracken</t>
  </si>
  <si>
    <t>Construction Financing Sources out of balance by:</t>
  </si>
  <si>
    <t>Guideline only</t>
  </si>
  <si>
    <t>6 mo. operating + 6 mo. debt service</t>
  </si>
  <si>
    <t>Total Dev. &amp; Consulting Fees:</t>
  </si>
  <si>
    <t>General Instructions</t>
  </si>
  <si>
    <t>M2m</t>
  </si>
  <si>
    <t>A.</t>
  </si>
  <si>
    <t>B.</t>
  </si>
  <si>
    <t>C.</t>
  </si>
  <si>
    <t>D.</t>
  </si>
  <si>
    <t>You will only be able to enter information into yellow input cells.  All other cells are protected.</t>
  </si>
  <si>
    <t>0) Underwriting Criteria</t>
  </si>
  <si>
    <t>1) Summary</t>
  </si>
  <si>
    <t>2) Sources &amp; Uses</t>
  </si>
  <si>
    <t>3) Income</t>
  </si>
  <si>
    <t>4) Expenses</t>
  </si>
  <si>
    <t>7) Compliance Checks</t>
  </si>
  <si>
    <t>5) Operating Proforma</t>
  </si>
  <si>
    <t>All worksheets must be completed.  Information on each worksheet is linked to other sheets.</t>
  </si>
  <si>
    <t>E.</t>
  </si>
  <si>
    <t>Indicate which amenities your project will provide.</t>
  </si>
  <si>
    <t>F.</t>
  </si>
  <si>
    <t>At the bottom of the sheet, again indicate who will be responsible for which utilities.</t>
  </si>
  <si>
    <t>Rent Inflation Rate Years 1-3</t>
  </si>
  <si>
    <t xml:space="preserve">Rent Inflation Rate Years 4+ </t>
  </si>
  <si>
    <t>Vacancy Rate for 11 Units or Less</t>
  </si>
  <si>
    <t>Net Final Cash Flow</t>
  </si>
  <si>
    <t>Unpaid Cash Flow Loan after Year 15:</t>
  </si>
  <si>
    <t>Operating Deficit Reserve</t>
  </si>
  <si>
    <t>Can increase with justification.</t>
  </si>
  <si>
    <t>Enter all permanent sources of funding, debt and equity, along with requested information for each source, including match information</t>
  </si>
  <si>
    <t>If a cash flow loan (Mark-to-Market or other cash flow loan) is a source, describe the terms of repayment in the box provided.</t>
  </si>
  <si>
    <t>This sheet will automatically calculate the repayment of any Deferred Developer Fee with available cash flow. For tax credit projects, any deferred fee not repaid within 10 years, the remaining balance will be subtracted from Eligible Basis on the 2)Sources &amp; Uses sheet.</t>
  </si>
  <si>
    <t>Avg Sq Ft/Unit:</t>
  </si>
  <si>
    <t>Project Name:</t>
  </si>
  <si>
    <t>Cash Flow Loan (Mark-to-Market or Other Cash Flow Loan)</t>
  </si>
  <si>
    <t>SOFT COSTS</t>
  </si>
  <si>
    <t>Accounting Fees</t>
  </si>
  <si>
    <t>Worker's Compensation Insurance</t>
  </si>
  <si>
    <t>LIHTC Anticipated Net Syndication Proceeds (4% / 9%)</t>
  </si>
  <si>
    <t>Building - Rehabilitation Construction Costs</t>
  </si>
  <si>
    <t>Vacancy Rate</t>
  </si>
  <si>
    <t>Lead-based paint controls or abatement</t>
  </si>
  <si>
    <t>Lead-Based Paint Assessment and Testing</t>
  </si>
  <si>
    <t>TOTAL SOFT COSTS</t>
  </si>
  <si>
    <t>Total Debt Sources:</t>
  </si>
  <si>
    <t>Total Equity Sources:</t>
  </si>
  <si>
    <t>TOTAL PERMANENT SOURCES:</t>
  </si>
  <si>
    <t>Total Construction Sources:</t>
  </si>
  <si>
    <r>
      <rPr>
        <sz val="10"/>
        <rFont val="Arial"/>
        <family val="2"/>
      </rPr>
      <t xml:space="preserve">Project Based Rental Assistance </t>
    </r>
    <r>
      <rPr>
        <sz val="9"/>
        <rFont val="Arial"/>
        <family val="2"/>
      </rPr>
      <t xml:space="preserve">
</t>
    </r>
    <r>
      <rPr>
        <i/>
        <sz val="9"/>
        <rFont val="Arial"/>
        <family val="2"/>
      </rPr>
      <t>if applicable</t>
    </r>
  </si>
  <si>
    <r>
      <rPr>
        <sz val="10"/>
        <rFont val="Arial"/>
        <family val="2"/>
      </rPr>
      <t>Project Based Rental Assistance</t>
    </r>
    <r>
      <rPr>
        <sz val="9"/>
        <rFont val="Arial"/>
        <family val="2"/>
      </rPr>
      <t xml:space="preserve"> 
</t>
    </r>
    <r>
      <rPr>
        <i/>
        <sz val="9"/>
        <rFont val="Arial"/>
        <family val="2"/>
      </rPr>
      <t>if applicable</t>
    </r>
  </si>
  <si>
    <t># of Baths</t>
  </si>
  <si>
    <t>Year 2</t>
  </si>
  <si>
    <t xml:space="preserve">Year 3 </t>
  </si>
  <si>
    <t>Utilities Paid By</t>
  </si>
  <si>
    <t>Utility Fuel Source</t>
  </si>
  <si>
    <t>(These will be trended at the same rate as rents on the Operating Proforma)</t>
  </si>
  <si>
    <t>Elevator Maintenance/Contract</t>
  </si>
  <si>
    <t>Grounds Expense</t>
  </si>
  <si>
    <t>Distribution is calculated based on percentage of total sources each funding type represents.</t>
  </si>
  <si>
    <t>Required DCR cannot be 
modified by applicant.</t>
  </si>
  <si>
    <t xml:space="preserve">Debt Coverage Ratio    </t>
  </si>
  <si>
    <t xml:space="preserve">Operating Proforma </t>
  </si>
  <si>
    <t>Some cells may be shaded black based on data input from previous sheets/cells. Do not enter data in blacked out cells.</t>
  </si>
  <si>
    <t xml:space="preserve">     High Cost Adjustment (Basis Boost)</t>
  </si>
  <si>
    <t xml:space="preserve">Enter the annual expenses for Year 1 of stabilized operations. </t>
  </si>
  <si>
    <t>Applicable KHC 
Cost Limit</t>
  </si>
  <si>
    <t>Interest Rate</t>
  </si>
  <si>
    <t>cents on 
the dollar</t>
  </si>
  <si>
    <t xml:space="preserve">    Remaining Cash Flow</t>
  </si>
  <si>
    <t>Is Project Requesting KHC Tax Credits?</t>
  </si>
  <si>
    <t>Asset Management Fee</t>
  </si>
  <si>
    <t>Pricing: $______</t>
  </si>
  <si>
    <r>
      <t xml:space="preserve">KHC SMAL Loan Origination Fee </t>
    </r>
    <r>
      <rPr>
        <i/>
        <sz val="10"/>
        <color indexed="8"/>
        <rFont val="Arial"/>
        <family val="2"/>
      </rPr>
      <t>(1% of loan amount)</t>
    </r>
  </si>
  <si>
    <t>Other equity/grant (identify):</t>
  </si>
  <si>
    <t>Reductions to Eligible Basis:</t>
  </si>
  <si>
    <t>(electric, gas, oil, etc.)</t>
  </si>
  <si>
    <t>KHC Compliance Monitoring Fees</t>
  </si>
  <si>
    <t>Compliance Fees (Other)</t>
  </si>
  <si>
    <t>Who will be responsible for tenant utilities?
Does not include common areas.</t>
  </si>
  <si>
    <t>Permanent Funding Sources out of balance by:</t>
  </si>
  <si>
    <r>
      <t xml:space="preserve">Construction Financing Sources:
</t>
    </r>
    <r>
      <rPr>
        <i/>
        <sz val="11"/>
        <rFont val="Arial"/>
        <family val="2"/>
      </rPr>
      <t>(May include permanent sources listed above)</t>
    </r>
  </si>
  <si>
    <t xml:space="preserve">Primary Unit Type: </t>
  </si>
  <si>
    <t xml:space="preserve">Total Units: </t>
  </si>
  <si>
    <t>Capital Needs Assessment</t>
  </si>
  <si>
    <t>Cash Flow Loan or M2M Repayment</t>
  </si>
  <si>
    <t>Expenses Subject to Available Cash Flow:</t>
  </si>
  <si>
    <t xml:space="preserve">     Balance of Deferred Dev. Fee </t>
  </si>
  <si>
    <t>Costs Not Paid During Construction (Must Identify)</t>
  </si>
  <si>
    <t>Housing Credit Equity Available During Construction</t>
  </si>
  <si>
    <t>Bank Construction Loan</t>
  </si>
  <si>
    <r>
      <rPr>
        <b/>
        <sz val="12"/>
        <rFont val="Arial"/>
        <family val="2"/>
      </rPr>
      <t xml:space="preserve">Non-KHC </t>
    </r>
    <r>
      <rPr>
        <sz val="11"/>
        <rFont val="Arial"/>
        <family val="2"/>
      </rPr>
      <t>Tax Credit Fees</t>
    </r>
  </si>
  <si>
    <r>
      <t xml:space="preserve">AHTF-Paid Developer Fee </t>
    </r>
    <r>
      <rPr>
        <sz val="10"/>
        <color indexed="8"/>
        <rFont val="Arial"/>
        <family val="2"/>
      </rPr>
      <t>(Limit 5% of AHTF request)</t>
    </r>
  </si>
  <si>
    <t xml:space="preserve">  HOME forgiven at maturity</t>
  </si>
  <si>
    <t xml:space="preserve">  Other Federal Grants &amp; Subsidies</t>
  </si>
  <si>
    <t xml:space="preserve">  Excess Cost Units</t>
  </si>
  <si>
    <t xml:space="preserve">  Other  </t>
  </si>
  <si>
    <t xml:space="preserve">  Unpaid Developer Fee (after 10 Years)</t>
  </si>
  <si>
    <r>
      <t xml:space="preserve">  Federal Historic Tax Credits, enter at right</t>
    </r>
    <r>
      <rPr>
        <i/>
        <sz val="11.5"/>
        <color indexed="10"/>
        <rFont val="Tahoma"/>
        <family val="2"/>
      </rPr>
      <t>--&gt;</t>
    </r>
  </si>
  <si>
    <t>Rental Assistance</t>
  </si>
  <si>
    <t>Is project-based rental assistance (RA) provided?</t>
  </si>
  <si>
    <t>No. Units Receiving RA:</t>
  </si>
  <si>
    <t>Source of RA:</t>
  </si>
  <si>
    <t>G.</t>
  </si>
  <si>
    <t>If there are project expenses that are payable subject to available cash flow, manually input the annual amount of those expenses.  At the bottom of the proforma, identify those expenses subject to cash flow.</t>
  </si>
  <si>
    <t>Annual Operating Subsidies</t>
  </si>
  <si>
    <t>Heating System</t>
  </si>
  <si>
    <t>Heating Fuel:</t>
  </si>
  <si>
    <t>System Type:</t>
  </si>
  <si>
    <t>HOME Subsidy Limits:</t>
  </si>
  <si>
    <t>Enter all development and construction costs. Be sure to identify the source funding your operating deficit reserve and any sources you enter in cells marked "Other."</t>
  </si>
  <si>
    <t>Enter any additional information you wish to provide Louisville Metro in the "Applicant Notes" section at the bottom of the sheet.</t>
  </si>
  <si>
    <t>Notes</t>
  </si>
  <si>
    <t>Other Loans</t>
  </si>
  <si>
    <t>1. General Justification for Funding:</t>
  </si>
  <si>
    <t xml:space="preserve">2. Why is the project needed?  </t>
  </si>
  <si>
    <t>b. How was this determined?</t>
  </si>
  <si>
    <t xml:space="preserve">4. Assess neighborhood market conditions: </t>
  </si>
  <si>
    <t>a. Completed similar projects successfully?</t>
  </si>
  <si>
    <t>Underwriting performed by:</t>
  </si>
  <si>
    <t>Title</t>
  </si>
  <si>
    <t>a. What supports proposed rents?</t>
  </si>
  <si>
    <t>Address:</t>
  </si>
  <si>
    <t>Printed Name</t>
  </si>
  <si>
    <t>Date</t>
  </si>
  <si>
    <t xml:space="preserve">Louisville Metro Underwriting Summary </t>
  </si>
  <si>
    <t>b. What supports lease up within 18 months?</t>
  </si>
  <si>
    <t>If your numbers vary from the guidelines, you must explain these variances in Column I.</t>
  </si>
  <si>
    <t>Applicant Notes to Louisville Metro</t>
  </si>
  <si>
    <t>Applicant:</t>
  </si>
  <si>
    <t>HOME Subsidy as % of Total Development Costs</t>
  </si>
  <si>
    <t>Amortization</t>
  </si>
  <si>
    <t>4% equity investment</t>
  </si>
  <si>
    <t>Rounded Total:</t>
  </si>
  <si>
    <t>HOME Compliance Checks &amp; Cost Allocation</t>
  </si>
  <si>
    <t>(Estimated)</t>
  </si>
  <si>
    <t>TDC per SF</t>
  </si>
  <si>
    <t>Const per SF</t>
  </si>
  <si>
    <t>Soft costs per SF</t>
  </si>
  <si>
    <t>Average Rent</t>
  </si>
  <si>
    <t>Rent Limits</t>
  </si>
  <si>
    <t>Low-HOME</t>
  </si>
  <si>
    <t>High-HOME</t>
  </si>
  <si>
    <t>0 Bedrooms</t>
  </si>
  <si>
    <t xml:space="preserve">1 Bedroom  </t>
  </si>
  <si>
    <t>2 Bedrooms</t>
  </si>
  <si>
    <t>3 Bedrooms</t>
  </si>
  <si>
    <t>4 Bedrooms</t>
  </si>
  <si>
    <r>
      <t>Utility Allowance Reference Tables</t>
    </r>
    <r>
      <rPr>
        <i/>
        <sz val="10"/>
        <rFont val="Arial"/>
        <family val="2"/>
      </rPr>
      <t xml:space="preserve">  </t>
    </r>
  </si>
  <si>
    <r>
      <t xml:space="preserve">Date </t>
    </r>
    <r>
      <rPr>
        <i/>
        <sz val="10"/>
        <rFont val="Arial"/>
        <family val="2"/>
      </rPr>
      <t>Updated:</t>
    </r>
  </si>
  <si>
    <r>
      <t xml:space="preserve">Unit Type: </t>
    </r>
    <r>
      <rPr>
        <b/>
        <sz val="10"/>
        <color indexed="56"/>
        <rFont val="Arial"/>
        <family val="2"/>
      </rPr>
      <t>Single Family, Townhouse, Mobile Home &amp; Condominium</t>
    </r>
  </si>
  <si>
    <t>Monthly Dollar Allowances</t>
  </si>
  <si>
    <t>Utility or Service</t>
  </si>
  <si>
    <t>a. Natural Gas</t>
  </si>
  <si>
    <t>b. Bottle Gas</t>
  </si>
  <si>
    <t>Other Electric/Lighting</t>
  </si>
  <si>
    <t>Water Heating</t>
  </si>
  <si>
    <t>Range/Microwave</t>
  </si>
  <si>
    <t>HOME GROSS Rent Limits</t>
  </si>
  <si>
    <t>HOME CONTRACT Rent Limits</t>
  </si>
  <si>
    <t>FMR</t>
  </si>
  <si>
    <t>W/D Hookup</t>
  </si>
  <si>
    <t>As published by HUD</t>
  </si>
  <si>
    <t>HUD Limit Minus Utility Allowance</t>
  </si>
  <si>
    <r>
      <t xml:space="preserve">Unit Type: </t>
    </r>
    <r>
      <rPr>
        <b/>
        <sz val="10"/>
        <color indexed="56"/>
        <rFont val="Arial"/>
        <family val="2"/>
      </rPr>
      <t>Multifamily Apartment</t>
    </r>
  </si>
  <si>
    <t>Gross HOME Rent Limit</t>
  </si>
  <si>
    <t>Last Updated:</t>
  </si>
  <si>
    <t>Aff. Hsng Trust Fund</t>
  </si>
  <si>
    <t># of HOME Units Entered on Sheet "3)Income"</t>
  </si>
  <si>
    <t>Estimated Annual Pmt</t>
  </si>
  <si>
    <t>Actual Annual Pmt</t>
  </si>
  <si>
    <t>Other Permanent Subsidy</t>
  </si>
  <si>
    <t>HOME Permanent Subsidy</t>
  </si>
  <si>
    <t>CDBG Permanent Subsidy</t>
  </si>
  <si>
    <r>
      <t xml:space="preserve">Other </t>
    </r>
    <r>
      <rPr>
        <i/>
        <sz val="10"/>
        <color indexed="8"/>
        <rFont val="Arial"/>
        <family val="2"/>
      </rPr>
      <t>(identify)</t>
    </r>
    <r>
      <rPr>
        <sz val="11"/>
        <color indexed="8"/>
        <rFont val="Arial"/>
        <family val="2"/>
      </rPr>
      <t>:</t>
    </r>
  </si>
  <si>
    <t>HOME Rent &amp; Subsidy Limits</t>
  </si>
  <si>
    <t>Developer Fee - Rehab</t>
  </si>
  <si>
    <t>Developer Fee - New Construction</t>
  </si>
  <si>
    <t>FORM TO BE ATTACHED TO ANTICIPATED MBE/WBE UTILIZATION PLAN</t>
  </si>
  <si>
    <t>Project:</t>
  </si>
  <si>
    <t>Total Square Feet:</t>
  </si>
  <si>
    <t>Date:</t>
  </si>
  <si>
    <t>Construction</t>
  </si>
  <si>
    <t>MBE</t>
  </si>
  <si>
    <t>WBE</t>
  </si>
  <si>
    <t>Section 3</t>
  </si>
  <si>
    <t>Line Item</t>
  </si>
  <si>
    <t>Budget</t>
  </si>
  <si>
    <t>Name &amp; #</t>
  </si>
  <si>
    <t>Contract Amt</t>
  </si>
  <si>
    <t>Existing Conditions</t>
  </si>
  <si>
    <t>Concrete</t>
  </si>
  <si>
    <t>Masonry</t>
  </si>
  <si>
    <t>Metals</t>
  </si>
  <si>
    <t>Wood and Composites</t>
  </si>
  <si>
    <t>Thermal and Moisture Protection</t>
  </si>
  <si>
    <t>Openings</t>
  </si>
  <si>
    <t>Finishes</t>
  </si>
  <si>
    <t>Specialties</t>
  </si>
  <si>
    <t>Equipment</t>
  </si>
  <si>
    <t>Furnishings</t>
  </si>
  <si>
    <t>Special Construction</t>
  </si>
  <si>
    <t>Fire Suppression</t>
  </si>
  <si>
    <t>Plumbing</t>
  </si>
  <si>
    <t>HVAC</t>
  </si>
  <si>
    <t>Electrical</t>
  </si>
  <si>
    <t>Communications</t>
  </si>
  <si>
    <t>Earthwork</t>
  </si>
  <si>
    <t>Exterior Improvements</t>
  </si>
  <si>
    <t>Other subcontracted soft costs:</t>
  </si>
  <si>
    <t>TOTAL MBE/WBE</t>
  </si>
  <si>
    <t xml:space="preserve">MBE/WBE </t>
  </si>
  <si>
    <t>a. Are costs reasonable (necessary &amp; sufficient)?</t>
  </si>
  <si>
    <t>c. Has adequate funding been secured?</t>
  </si>
  <si>
    <t>d. What is the status of other funding sources?</t>
  </si>
  <si>
    <t>c. Concerns &amp; Other info:</t>
  </si>
  <si>
    <t>d. Concerns &amp; Other info:</t>
  </si>
  <si>
    <t>LMG Perm. Funding as % TDC:</t>
  </si>
  <si>
    <t>Max HOME Allowed</t>
  </si>
  <si>
    <t>Additional HOME Construction Loan Requested</t>
  </si>
  <si>
    <t>HOME Construction Loan</t>
  </si>
  <si>
    <t>CDBG Construction Loan</t>
  </si>
  <si>
    <t>Other Construction Loan</t>
  </si>
  <si>
    <t>Total Construction Loan</t>
  </si>
  <si>
    <t>Total Permanent Subsidy</t>
  </si>
  <si>
    <t>Construction Loan as % TDC</t>
  </si>
  <si>
    <t>Potential $ Repaid to LMG</t>
  </si>
  <si>
    <t>7. Assess project risks.</t>
  </si>
  <si>
    <t>8. What contingencies should be placed on LMG funding?</t>
  </si>
  <si>
    <t>5. Assess the capacity of the development team:</t>
  </si>
  <si>
    <t>e. Concerns &amp; Other info:</t>
  </si>
  <si>
    <t>6. Assess the capacity of ongoing management:</t>
  </si>
  <si>
    <t xml:space="preserve">3. Examine the sources &amp; uses and operating proforma.                    </t>
  </si>
  <si>
    <t>f. Concerns &amp; Other info:</t>
  </si>
  <si>
    <t>e. Describe the evidence that the project can operate sustainably through the compliance period?</t>
  </si>
  <si>
    <t xml:space="preserve"> Per Unit Subsidy Limit</t>
  </si>
  <si>
    <t>LMG Guidelines</t>
  </si>
  <si>
    <t>a. Is there evidence they are managing similar properties successfully?</t>
  </si>
  <si>
    <t>(examples: developer fee, reserves, etc.)</t>
  </si>
  <si>
    <t>(Asset Mgt. Fee, Investor Fees, etc.)</t>
  </si>
  <si>
    <r>
      <t>Expenses Subject to Available Cash Flow 
(</t>
    </r>
    <r>
      <rPr>
        <i/>
        <sz val="10"/>
        <rFont val="Arial"/>
        <family val="2"/>
      </rPr>
      <t>identify below)</t>
    </r>
  </si>
  <si>
    <t>LIHTCs?</t>
  </si>
  <si>
    <t>Check to ensure the project has the minimum number of HOME units required.  If not, enter additional HOME units on Sheet 3, "Income".</t>
  </si>
  <si>
    <t xml:space="preserve">B. </t>
  </si>
  <si>
    <t>Check the 221(d)3 maximum subsidy limits to insure your funding request does not exceed limit.  If your request exceeds the HUD limit, you must either reduce your requested HOME funds or increase the number of HOME units in the project.</t>
  </si>
  <si>
    <t>Annual Replacement Reserve Contribution:</t>
  </si>
  <si>
    <t>(From Sheet "0)Underwriting Criteria")</t>
  </si>
  <si>
    <t>Compare to Guideline</t>
  </si>
  <si>
    <t>Underwriting Criteria &amp; HOME Limits</t>
  </si>
  <si>
    <t>Deferred fee repaid within 10 years (if applicable)?</t>
  </si>
  <si>
    <t>HOME Units</t>
  </si>
  <si>
    <t>Minimum HOME Units Required</t>
  </si>
  <si>
    <t>Low HOME Units:</t>
  </si>
  <si>
    <t># Entered Below:</t>
  </si>
  <si>
    <r>
      <t xml:space="preserve">Operating Deficit Reserve  </t>
    </r>
    <r>
      <rPr>
        <b/>
        <i/>
        <sz val="10"/>
        <color indexed="10"/>
        <rFont val="Arial"/>
        <family val="2"/>
      </rPr>
      <t>(MUST identify source)</t>
    </r>
  </si>
  <si>
    <t>Source of Operating Deficit Reserve:</t>
  </si>
  <si>
    <t>If outside of guidelines, briefly explain.</t>
  </si>
  <si>
    <t>HOME Income Limits</t>
  </si>
  <si>
    <t>c. Describe the evidence that developer(s) are financially stable:</t>
  </si>
  <si>
    <t>a. Is project likely to be completed in a timely manner?  Why?</t>
  </si>
  <si>
    <t>9. CURRENT RECOMMENDATION FOR FUNDING:</t>
  </si>
  <si>
    <t>Units:</t>
  </si>
  <si>
    <t>Household Size (persons)</t>
  </si>
  <si>
    <t>HOME 60% HUD AMI Income Limit</t>
  </si>
  <si>
    <t>Permanent Sources</t>
  </si>
  <si>
    <t xml:space="preserve">Louisville Metro  </t>
  </si>
  <si>
    <t>Louisville Metro Funding Detail</t>
  </si>
  <si>
    <t>Additional credits for CSFs may not exceed 25% of eligible basis and TDC cannot exceed $15 million.</t>
  </si>
  <si>
    <t>Additional CSF Credit</t>
  </si>
  <si>
    <t>CSF Square Footage / Residential Square Footage</t>
  </si>
  <si>
    <t>Residential Square Footage</t>
  </si>
  <si>
    <t xml:space="preserve">Community Service Facility Square Footage </t>
  </si>
  <si>
    <t>Multiplied by Maximum Housing Credit Per Unit</t>
  </si>
  <si>
    <t>Add one additional Housing Credit Unit for a Qualified CSF in a QCT</t>
  </si>
  <si>
    <t>When there is a qualified CSF in a QCT, the project is eligible for additional credits, as calculated below:</t>
  </si>
  <si>
    <t xml:space="preserve">Community Service Facility (CSF) Credits </t>
  </si>
  <si>
    <t>Total Tax Credit Amount</t>
  </si>
  <si>
    <t>Number of Housing Credit units</t>
  </si>
  <si>
    <t>(Urban: $15,000 or $19,500 with boost; Rural: $16,500 or $21,450 with boost)</t>
  </si>
  <si>
    <r>
      <t>Maximum Housing Credit Per Unit</t>
    </r>
    <r>
      <rPr>
        <sz val="11"/>
        <color indexed="10"/>
        <rFont val="Arial"/>
        <family val="2"/>
      </rPr>
      <t xml:space="preserve"> </t>
    </r>
    <r>
      <rPr>
        <sz val="11"/>
        <rFont val="Arial"/>
        <family val="2"/>
      </rPr>
      <t>($15,000 urban or $16,500 rural)</t>
    </r>
  </si>
  <si>
    <t>Housing Credit Per Unit Test</t>
  </si>
  <si>
    <r>
      <t xml:space="preserve">Total Credit Allowed </t>
    </r>
    <r>
      <rPr>
        <b/>
        <sz val="12"/>
        <color indexed="8"/>
        <rFont val="Arial"/>
        <family val="2"/>
      </rPr>
      <t xml:space="preserve"> </t>
    </r>
  </si>
  <si>
    <t>Credit Need</t>
  </si>
  <si>
    <t>+ Additional CSF Credit</t>
  </si>
  <si>
    <t>Applicable Fraction</t>
  </si>
  <si>
    <r>
      <t xml:space="preserve">Credit Allowed Based on Tests </t>
    </r>
    <r>
      <rPr>
        <i/>
        <sz val="10"/>
        <color indexed="8"/>
        <rFont val="Arial"/>
        <family val="2"/>
      </rPr>
      <t>(lesser of 3 tests above)</t>
    </r>
  </si>
  <si>
    <t>Total Credit Need</t>
  </si>
  <si>
    <t>Per Unit Test</t>
  </si>
  <si>
    <t>Percentage of Credits to Investor(s)</t>
  </si>
  <si>
    <t>Qualified Basis Test</t>
  </si>
  <si>
    <t>Anticipated Credit Pricing (per dollar of eligible basis)</t>
  </si>
  <si>
    <t>Equity Gap Test</t>
  </si>
  <si>
    <t>Equity Gap</t>
  </si>
  <si>
    <t>Total Credit Allowed</t>
  </si>
  <si>
    <t>Less Financing</t>
  </si>
  <si>
    <t>Total Development Cost (TDC)</t>
  </si>
  <si>
    <t>9% Credit</t>
  </si>
  <si>
    <t>Equity Gap Calculation Test</t>
  </si>
  <si>
    <t>Housing Credit Allocation Requested</t>
  </si>
  <si>
    <t>70% Present Value Credit (9%)</t>
  </si>
  <si>
    <t>Total Gross Square Footage</t>
  </si>
  <si>
    <t>Housing Credit Square Footage</t>
  </si>
  <si>
    <t>4% Credit</t>
  </si>
  <si>
    <t>Total units</t>
  </si>
  <si>
    <t>Housing Credit units</t>
  </si>
  <si>
    <t>30% Present Value Credit (4%)</t>
  </si>
  <si>
    <r>
      <t xml:space="preserve">Applicable Fraction </t>
    </r>
    <r>
      <rPr>
        <i/>
        <sz val="11"/>
        <rFont val="Arial"/>
        <family val="2"/>
      </rPr>
      <t>(Use lower of unit fraction or square footage fraction)</t>
    </r>
  </si>
  <si>
    <t>KHC INITIAL HOUSING CREDIT ALLOCATION ANALYSIS</t>
  </si>
  <si>
    <t>c. Electric</t>
  </si>
  <si>
    <t>d. Oil</t>
  </si>
  <si>
    <t>HOME from KHC</t>
  </si>
  <si>
    <r>
      <t xml:space="preserve">Total HOME Funds Requested </t>
    </r>
    <r>
      <rPr>
        <i/>
        <sz val="9"/>
        <color indexed="8"/>
        <rFont val="Arial"/>
        <family val="2"/>
      </rPr>
      <t>(Local &amp; State)</t>
    </r>
  </si>
  <si>
    <t>Compliance Period:</t>
  </si>
  <si>
    <t>Min</t>
  </si>
  <si>
    <t xml:space="preserve">Max  </t>
  </si>
  <si>
    <t>If over 12%, MUST justify.</t>
  </si>
  <si>
    <t>a. How does the project fit in with the ConPlan, housing strategies, etc.?</t>
  </si>
  <si>
    <t>b. Any problem projects current or past?</t>
  </si>
  <si>
    <t>b. Any problem properties current or past?</t>
  </si>
  <si>
    <t xml:space="preserve">b. Any foreseeable obstacles to completion? </t>
  </si>
  <si>
    <t>c. How will LMG mitigate risk?</t>
  </si>
  <si>
    <t>Tenant Charges (late fees, insufficient funds fees, etc.)</t>
  </si>
  <si>
    <t>Complete the following worksheets roughly in the order corresponding with their numbering:</t>
  </si>
  <si>
    <t>This provides you with Louisville Metro's guidelines for various underwriting criteria and identifies if your project meets these criteria.</t>
  </si>
  <si>
    <t>Default percentages for rent inflation, vacancy and operating expense inflation are shown.  However, if another funding source requires different inflation factors, percentages may be modified with  justification.</t>
  </si>
  <si>
    <t>The required per unit amount for replacement reserve is shown.   If another funding source requires a higher replacement reserve amount per unit, this may be modified with  justification.</t>
  </si>
  <si>
    <t>Construction contingency defaults to 5% of total hard costs; however, developer may adjust as necessary, not to exceed 10% of hard costs.  Louisville Metro &amp; KHC do not allow a soft cost contingency.</t>
  </si>
  <si>
    <t>If you determine that inflation or vacancy factors should be modified, go to "0)Underwriting Criteria" and enter your numbers in the column labeled "Applicant's #." Any changes must be explained.</t>
  </si>
  <si>
    <t>If you indicated your project is not seeking tax credits, this sheet will be blacked out.</t>
  </si>
  <si>
    <t>Applicants requesting tax credits only have four (4) cells requiring input information:</t>
  </si>
  <si>
    <t xml:space="preserve">INSTRUCTIONS FOR COMPLETING THE LOUISVILLE METRO RENTAL HOUSING PRODUCTION APPLICATION </t>
  </si>
  <si>
    <t xml:space="preserve">70% Present Value Credit </t>
  </si>
  <si>
    <r>
      <t>30% Present Value Credit</t>
    </r>
    <r>
      <rPr>
        <sz val="9"/>
        <rFont val="Arial"/>
        <family val="2"/>
      </rPr>
      <t xml:space="preserve"> </t>
    </r>
  </si>
  <si>
    <r>
      <t>Other LMG Construction Loan</t>
    </r>
    <r>
      <rPr>
        <sz val="11"/>
        <color indexed="56"/>
        <rFont val="Arial"/>
        <family val="2"/>
      </rPr>
      <t xml:space="preserve"> </t>
    </r>
    <r>
      <rPr>
        <i/>
        <sz val="11"/>
        <color indexed="60"/>
        <rFont val="Arial"/>
        <family val="2"/>
      </rPr>
      <t>(to be repaid)</t>
    </r>
  </si>
  <si>
    <t>1  BR</t>
  </si>
  <si>
    <t>2  BR</t>
  </si>
  <si>
    <t>3  BR</t>
  </si>
  <si>
    <t>4  BR</t>
  </si>
  <si>
    <t>(Published Annually by HUD)</t>
  </si>
  <si>
    <t>Verify that permanent sources and construction sources both equal the total development costs.</t>
  </si>
  <si>
    <t>6) Compliance Checks</t>
  </si>
  <si>
    <t>7) Housing Credits</t>
  </si>
  <si>
    <t>This cash flow charts revenue and expenses over 20 years to see how a project performs financially.  You may not need to enter any information, but make sure the project has sufficient debt coverage ratios and cash flow throughout whatever compliance period applies to the funding you seek ( usually 15-20 years).  Louisville Metro targets a DCR of 1.25 in Year 1 and no less than 1.00. If the DCR is not positive through the compliance period, explain on the Summary how the owner will handle the negative cash flow so that the project remains financially viable throughout the compliance period.  If an Operating Subsidy or draws on an Operating Reserve will mitigate negative cash flow, enter these funds on this worksheet.</t>
  </si>
  <si>
    <r>
      <t xml:space="preserve">KHC Tax Credit Reservation Fees </t>
    </r>
    <r>
      <rPr>
        <sz val="9"/>
        <rFont val="Arial"/>
        <family val="2"/>
      </rPr>
      <t>(7% of HC allocation)</t>
    </r>
  </si>
  <si>
    <r>
      <t xml:space="preserve">KHC Tax Credit Inspection Fee </t>
    </r>
    <r>
      <rPr>
        <sz val="9"/>
        <rFont val="Arial"/>
        <family val="2"/>
      </rPr>
      <t>(0.2% of HC allocation)</t>
    </r>
  </si>
  <si>
    <r>
      <t>Federal Historic Tax Credit Equity</t>
    </r>
    <r>
      <rPr>
        <sz val="8"/>
        <rFont val="Arial"/>
        <family val="2"/>
      </rPr>
      <t xml:space="preserve">  </t>
    </r>
    <r>
      <rPr>
        <sz val="10"/>
        <rFont val="Arial"/>
        <family val="2"/>
      </rPr>
      <t>(deducted from basis)</t>
    </r>
  </si>
  <si>
    <t>How to Apply</t>
  </si>
  <si>
    <r>
      <t>To print this entire file, click on "</t>
    </r>
    <r>
      <rPr>
        <i/>
        <sz val="10"/>
        <rFont val="Arial"/>
        <family val="2"/>
      </rPr>
      <t xml:space="preserve">File," </t>
    </r>
    <r>
      <rPr>
        <sz val="10"/>
        <rFont val="Arial"/>
        <family val="2"/>
      </rPr>
      <t>then</t>
    </r>
    <r>
      <rPr>
        <i/>
        <sz val="10"/>
        <rFont val="Arial"/>
        <family val="2"/>
      </rPr>
      <t xml:space="preserve"> "Print"</t>
    </r>
    <r>
      <rPr>
        <sz val="10"/>
        <rFont val="Arial"/>
        <family val="2"/>
      </rPr>
      <t xml:space="preserve"> and select "</t>
    </r>
    <r>
      <rPr>
        <i/>
        <sz val="10"/>
        <rFont val="Arial"/>
        <family val="2"/>
      </rPr>
      <t>Print Entire Workbook.</t>
    </r>
    <r>
      <rPr>
        <sz val="10"/>
        <rFont val="Arial"/>
        <family val="2"/>
      </rPr>
      <t>"</t>
    </r>
  </si>
  <si>
    <r>
      <t xml:space="preserve">Enter all construction sources. Some of the construction sources may also be the same as some of the permanent sources; however, you must identify the amount of each source (including equity) that is </t>
    </r>
    <r>
      <rPr>
        <u/>
        <sz val="10"/>
        <rFont val="Arial"/>
        <family val="2"/>
      </rPr>
      <t>available during the construction period</t>
    </r>
    <r>
      <rPr>
        <sz val="10"/>
        <rFont val="Arial"/>
        <family val="2"/>
      </rPr>
      <t>.  If there are costs not paid during construction, identify those.</t>
    </r>
  </si>
  <si>
    <r>
      <t>Unit Distribution:</t>
    </r>
    <r>
      <rPr>
        <sz val="10"/>
        <rFont val="Arial"/>
        <family val="2"/>
      </rPr>
      <t xml:space="preserve"> For each bedroom type, enter the requested information.  Be sure to enter the Contract Rent, which is the rent you will be charging tenants or the project-based rent (if applicable). </t>
    </r>
  </si>
  <si>
    <r>
      <t xml:space="preserve">Project Totals: </t>
    </r>
    <r>
      <rPr>
        <sz val="10"/>
        <rFont val="Arial"/>
        <family val="2"/>
      </rPr>
      <t xml:space="preserve">Enter the commercial square footage and common area square footage, if applicable.  </t>
    </r>
  </si>
  <si>
    <r>
      <t xml:space="preserve">Rental Assistance: </t>
    </r>
    <r>
      <rPr>
        <sz val="10"/>
        <rFont val="Arial"/>
        <family val="2"/>
      </rPr>
      <t>If the project is proposing project-based rental assistance, enter the source of the assistance and the number of units that will have project-based assistance.  The current rental assistance contract, along with current approved rents and utility allowances as documented by the rental assistance provider, must be submitted with the application.</t>
    </r>
  </si>
  <si>
    <r>
      <t xml:space="preserve">Other Income: </t>
    </r>
    <r>
      <rPr>
        <sz val="10"/>
        <rFont val="Arial"/>
        <family val="2"/>
      </rPr>
      <t>Enter the monthly amount of other sources of revenue you are reasonably sure the project will receive.</t>
    </r>
  </si>
  <si>
    <r>
      <rPr>
        <i/>
        <sz val="10"/>
        <rFont val="Arial"/>
        <family val="2"/>
      </rPr>
      <t>Annual Operating Subsidies</t>
    </r>
    <r>
      <rPr>
        <sz val="10"/>
        <rFont val="Arial"/>
        <family val="2"/>
      </rPr>
      <t>: If the project will receive operating subsidy, enter the source and amount.  Documentation of the amount and source of the operating subsidy must be provided with the application.</t>
    </r>
  </si>
  <si>
    <r>
      <t xml:space="preserve">If a cash flow loan (such as Mark-to-Market or other cash flow loan) is a source, manually input the annual repayment amount of the cash flow loan.  </t>
    </r>
    <r>
      <rPr>
        <i/>
        <sz val="10"/>
        <rFont val="Arial"/>
        <family val="2"/>
      </rPr>
      <t>(Note: Mark-to-Market cash flow loans may take priority over repayment of deferred developer fee).</t>
    </r>
  </si>
  <si>
    <r>
      <t xml:space="preserve">1. Housing Credit Per Unit Test: </t>
    </r>
    <r>
      <rPr>
        <sz val="10"/>
        <rFont val="Arial"/>
        <family val="2"/>
      </rPr>
      <t>Select applicable max credit per unit from the drop-down list.</t>
    </r>
  </si>
  <si>
    <r>
      <t xml:space="preserve">2. Community Service Facility Credits: </t>
    </r>
    <r>
      <rPr>
        <sz val="10"/>
        <rFont val="Arial"/>
        <family val="2"/>
      </rPr>
      <t>If you have a qualified CSF, enter its square footage.  Refer to KHC Rental Guidelines for definition.</t>
    </r>
  </si>
  <si>
    <t>d. Describe the evidence that the development team is sufficient &amp; qualified:</t>
  </si>
  <si>
    <t>Funding Status</t>
  </si>
  <si>
    <t>HOME Permanent Subsidy Requested</t>
  </si>
  <si>
    <t>KHC HOME</t>
  </si>
  <si>
    <t xml:space="preserve">Other equity/grant (identify): </t>
  </si>
  <si>
    <t>HUD Utility Schedule Model</t>
  </si>
  <si>
    <r>
      <rPr>
        <b/>
        <sz val="12"/>
        <color indexed="8"/>
        <rFont val="Arial"/>
        <family val="2"/>
      </rPr>
      <t>Utility Allowance Calculation</t>
    </r>
    <r>
      <rPr>
        <b/>
        <sz val="11"/>
        <color indexed="8"/>
        <rFont val="Arial"/>
        <family val="2"/>
      </rPr>
      <t xml:space="preserve">       </t>
    </r>
    <r>
      <rPr>
        <i/>
        <sz val="11"/>
        <color indexed="8"/>
        <rFont val="Arial"/>
        <family val="2"/>
      </rPr>
      <t>(Applicants must use the HUSM, entering all information here and submit the HUSM printout with the application.)</t>
    </r>
  </si>
  <si>
    <t>*As per 92.252(d) LMG has opted to use the HUD Utility Schedule Model to determine the utility allowances for all projects.  Please refer to www.HUDUser.gov/portal/datasets/husm/uam.html.  for the web-based version of the HUSM..  Enter the applicable monthly dollar amounts below, and attach a copy of the HUSM (with supporting documentation) as an attachment to the application.</t>
  </si>
  <si>
    <r>
      <rPr>
        <i/>
        <sz val="10"/>
        <rFont val="Arial"/>
        <family val="2"/>
      </rPr>
      <t>Utility Allowances</t>
    </r>
    <r>
      <rPr>
        <sz val="10"/>
        <rFont val="Arial"/>
        <family val="2"/>
      </rPr>
      <t>: As per 92.252(d) LMG requires that applicants utilize HUD's Utility Schedule Model to determine the maximum monthly allowances for utilities and services (excluding telephone)  Applicants will need to complete the HUSM and enter the information in the Proforma and attached the HUSM printout to the the application when submitting to LMG.  Indicate the type of utilities the project will have, as well as which will be paid by owner and which will be paid by tenants. For utilities paid by tenants, enter the applicable utility allowance for each. Also enter the source of the utility allowances you are using.</t>
    </r>
  </si>
  <si>
    <t>Rental Project</t>
  </si>
  <si>
    <t xml:space="preserve">Period of Affordability </t>
  </si>
  <si>
    <t>years</t>
  </si>
  <si>
    <t>Total Number of Units</t>
  </si>
  <si>
    <t>units</t>
  </si>
  <si>
    <t>Number of HOME Units</t>
  </si>
  <si>
    <t>Monitoring Task</t>
  </si>
  <si>
    <t>Labor Hours</t>
  </si>
  <si>
    <t>Hourly Rate</t>
  </si>
  <si>
    <t>Total Cost</t>
  </si>
  <si>
    <t>Project-Based Tasks</t>
  </si>
  <si>
    <t xml:space="preserve">   Annual report review</t>
  </si>
  <si>
    <t xml:space="preserve">   Approve rents/utility allowance</t>
  </si>
  <si>
    <t xml:space="preserve">   Financial oversight</t>
  </si>
  <si>
    <t xml:space="preserve">   Other: </t>
  </si>
  <si>
    <t>Subtotal of Annual Project Reviews</t>
  </si>
  <si>
    <t>Onsite monitoring</t>
  </si>
  <si>
    <t>No. of files/units</t>
  </si>
  <si>
    <t xml:space="preserve">   Base monitoring visit</t>
  </si>
  <si>
    <t xml:space="preserve">   Tenant file review (per file sampled)</t>
  </si>
  <si>
    <t xml:space="preserve">   Physical Inspection (per unit sampled)</t>
  </si>
  <si>
    <t xml:space="preserve">   Reinspection Rate (% of units) - if included in base fee</t>
  </si>
  <si>
    <t xml:space="preserve">   Other: Avg. Mileage</t>
  </si>
  <si>
    <t>Subtotal Cost - Typical Onsite Monitoring</t>
  </si>
  <si>
    <t>Expected Frequency (every X year) of on-site monitoring</t>
  </si>
  <si>
    <t>Average Annualized Cost of Onsite Monitoring</t>
  </si>
  <si>
    <t>Projected Annualized Cost of Monitoring</t>
  </si>
  <si>
    <t>Total Cost of Monitoring Due at HOME loan closing.</t>
  </si>
  <si>
    <t>Miles from 444 S 5th Street</t>
  </si>
  <si>
    <t xml:space="preserve">   Site Visit Distance and Milage</t>
  </si>
  <si>
    <t>Miles</t>
  </si>
  <si>
    <t>Price/Mile</t>
  </si>
  <si>
    <t>HOME Program Monitoring Fee Calculation Worksheet</t>
  </si>
  <si>
    <t>Number of HOME Units in inspection sample</t>
  </si>
  <si>
    <t>(Default to 20% unless stated otherwise)</t>
  </si>
  <si>
    <t>HOME Maximum Per Unit Subsidy Limits</t>
  </si>
  <si>
    <t>HOME Per Unit</t>
  </si>
  <si>
    <t>Maximum Subsidy Limit</t>
  </si>
  <si>
    <t>6/1/2024</t>
  </si>
  <si>
    <t>Applicant Name:</t>
  </si>
  <si>
    <t xml:space="preserve">Construction Type: </t>
  </si>
  <si>
    <t>Project Address:</t>
  </si>
  <si>
    <t>Cash Flow Loan?</t>
  </si>
  <si>
    <t xml:space="preserve">If yes, describe cash flow repayment terms </t>
  </si>
  <si>
    <r>
      <rPr>
        <b/>
        <i/>
        <sz val="12"/>
        <color rgb="FFC00000"/>
        <rFont val="Arial"/>
        <family val="2"/>
      </rPr>
      <t>INSTRUCTIONS:</t>
    </r>
    <r>
      <rPr>
        <i/>
        <sz val="12"/>
        <color rgb="FFC00000"/>
        <rFont val="Arial"/>
        <family val="2"/>
      </rPr>
      <t xml:space="preserve"> Please input the amount requested from Louisville Metro with the desired loan terms in the green cells below.  Please include all other sources of funds, both debt and equity, for the project in the subsequent rows. </t>
    </r>
  </si>
  <si>
    <t>Louisville Affordable Housing Trust Fund (LAHTF)</t>
  </si>
  <si>
    <t>Bank Permanent Loan</t>
  </si>
  <si>
    <t>Other KHC Funding (AHTF, SMAL, Risk Sharing)</t>
  </si>
  <si>
    <t>LMG Monitoring Fee</t>
  </si>
  <si>
    <t>Louisville Metro Development Subsidy</t>
  </si>
  <si>
    <t>08/03/2023</t>
  </si>
  <si>
    <t>If any of the sources are only available during construction, please attach information as to what financing will be used to pay off the construction loan.</t>
  </si>
  <si>
    <t xml:space="preserve">Louisville Metro Development Subsidy </t>
  </si>
  <si>
    <r>
      <rPr>
        <b/>
        <i/>
        <sz val="12"/>
        <color rgb="FFC00000"/>
        <rFont val="Arial"/>
        <family val="2"/>
      </rPr>
      <t>INSTRUCTIONS:</t>
    </r>
    <r>
      <rPr>
        <i/>
        <sz val="12"/>
        <color rgb="FFC00000"/>
        <rFont val="Arial"/>
        <family val="2"/>
      </rPr>
      <t xml:space="preserve"> Please enter all applicable development and construction costs in the yellow cells below. Be sure to identify the source funding your operating deficit reserve, if applicable.  Verify that total sources equal total development costs</t>
    </r>
  </si>
  <si>
    <r>
      <t xml:space="preserve">Construction sources </t>
    </r>
    <r>
      <rPr>
        <b/>
        <i/>
        <u/>
        <sz val="12"/>
        <color indexed="10"/>
        <rFont val="Arial"/>
        <family val="2"/>
      </rPr>
      <t>must</t>
    </r>
    <r>
      <rPr>
        <b/>
        <i/>
        <sz val="12"/>
        <color indexed="10"/>
        <rFont val="Arial"/>
        <family val="2"/>
      </rPr>
      <t xml:space="preserve"> equal Total Development Costs.</t>
    </r>
  </si>
  <si>
    <t>(LAHTF) Louisville Affordable Housing Trust Fund</t>
  </si>
  <si>
    <t>Bank Permenant Loan</t>
  </si>
  <si>
    <t>Other KHC Funding</t>
  </si>
  <si>
    <t>MBE/WBE/Section 3 Subcontractor</t>
  </si>
  <si>
    <t>This is a summary of other worksheets.  Please enter your project information at the top of the sheet</t>
  </si>
  <si>
    <t xml:space="preserve">A. </t>
  </si>
  <si>
    <t xml:space="preserve">Neighborly Login </t>
  </si>
  <si>
    <t>Upload proforma to your Neighborly account.  Click below to access your Neighborly Login.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</si>
</sst>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0_);[Red]\(0\)"/>
    <numFmt numFmtId="167" formatCode="&quot;$&quot;#,##0_)&quot; pupa&quot;;[Red]\(&quot;$&quot;#,##0\)&quot; pupa&quot;"/>
    <numFmt numFmtId="168" formatCode="0&quot;.&quot;"/>
    <numFmt numFmtId="169" formatCode="&quot;$&quot;#,##0.00"/>
    <numFmt numFmtId="170" formatCode="0.0"/>
    <numFmt numFmtId="171" formatCode="_(* #,##0_);_(* \(#,##0\);_(* &quot;-&quot;??_);_(@_)"/>
    <numFmt numFmtId="172" formatCode="General_)"/>
    <numFmt numFmtId="173" formatCode="&quot;$&quot;#,##0.0000"/>
    <numFmt numFmtId="174" formatCode="0.000"/>
    <numFmt numFmtId="175" formatCode="&quot;$&quot;#,##0.0000_);[Red]\(&quot;$&quot;#,##0.0000\)"/>
  </numFmts>
  <fonts count="186">
    <font>
      <sz val="12"/>
      <name val="Arial"/>
    </font>
    <font>
      <sz val="10"/>
      <name val="Arial"/>
      <family val="2"/>
    </font>
    <font>
      <sz val="10"/>
      <name val="Arial"/>
      <family val="2"/>
    </font>
    <font>
      <sz val="12"/>
      <name val="Arial"/>
      <family val="2"/>
    </font>
    <font>
      <b/>
      <sz val="14"/>
      <name val="Arial"/>
      <family val="2"/>
    </font>
    <font>
      <sz val="12"/>
      <color indexed="12"/>
      <name val="Arial"/>
      <family val="2"/>
    </font>
    <font>
      <sz val="12"/>
      <color indexed="8"/>
      <name val="Arial"/>
      <family val="2"/>
    </font>
    <font>
      <b/>
      <sz val="12"/>
      <name val="Arial"/>
      <family val="2"/>
    </font>
    <font>
      <b/>
      <u/>
      <sz val="12"/>
      <name val="Arial"/>
      <family val="2"/>
    </font>
    <font>
      <b/>
      <sz val="14"/>
      <color indexed="12"/>
      <name val="Arial"/>
      <family val="2"/>
    </font>
    <font>
      <b/>
      <sz val="12"/>
      <color indexed="12"/>
      <name val="Arial"/>
      <family val="2"/>
    </font>
    <font>
      <b/>
      <u/>
      <sz val="12"/>
      <color indexed="12"/>
      <name val="Arial"/>
      <family val="2"/>
    </font>
    <font>
      <sz val="11"/>
      <name val="Arial"/>
      <family val="2"/>
    </font>
    <font>
      <b/>
      <i/>
      <sz val="12"/>
      <color indexed="10"/>
      <name val="Arial"/>
      <family val="2"/>
    </font>
    <font>
      <sz val="10"/>
      <name val="Arial"/>
      <family val="2"/>
    </font>
    <font>
      <b/>
      <sz val="12"/>
      <color indexed="8"/>
      <name val="Arial"/>
      <family val="2"/>
    </font>
    <font>
      <b/>
      <sz val="11"/>
      <name val="Arial"/>
      <family val="2"/>
    </font>
    <font>
      <b/>
      <sz val="12"/>
      <color indexed="10"/>
      <name val="Arial"/>
      <family val="2"/>
    </font>
    <font>
      <sz val="14"/>
      <color indexed="9"/>
      <name val="Arial"/>
      <family val="2"/>
    </font>
    <font>
      <u val="double"/>
      <sz val="12"/>
      <color indexed="12"/>
      <name val="Arial"/>
      <family val="2"/>
    </font>
    <font>
      <b/>
      <sz val="18"/>
      <color indexed="12"/>
      <name val="Arial"/>
      <family val="2"/>
    </font>
    <font>
      <sz val="18"/>
      <name val="Arial"/>
      <family val="2"/>
    </font>
    <font>
      <sz val="12"/>
      <name val="Arial"/>
      <family val="2"/>
    </font>
    <font>
      <sz val="8"/>
      <name val="Arial"/>
      <family val="2"/>
    </font>
    <font>
      <b/>
      <sz val="12"/>
      <color indexed="9"/>
      <name val="Arial"/>
      <family val="2"/>
    </font>
    <font>
      <sz val="12"/>
      <color indexed="10"/>
      <name val="Arial"/>
      <family val="2"/>
    </font>
    <font>
      <b/>
      <sz val="10"/>
      <name val="Arial"/>
      <family val="2"/>
    </font>
    <font>
      <b/>
      <sz val="10"/>
      <name val="Arial"/>
      <family val="2"/>
    </font>
    <font>
      <i/>
      <sz val="11"/>
      <name val="Arial"/>
      <family val="2"/>
    </font>
    <font>
      <sz val="9"/>
      <name val="Arial"/>
      <family val="2"/>
    </font>
    <font>
      <i/>
      <sz val="10"/>
      <name val="Arial"/>
      <family val="2"/>
    </font>
    <font>
      <sz val="14"/>
      <color indexed="12"/>
      <name val="Arial"/>
      <family val="2"/>
    </font>
    <font>
      <b/>
      <sz val="18"/>
      <name val="Arial"/>
      <family val="2"/>
    </font>
    <font>
      <sz val="10"/>
      <color indexed="8"/>
      <name val="Arial"/>
      <family val="2"/>
    </font>
    <font>
      <u/>
      <sz val="11"/>
      <name val="Arial"/>
      <family val="2"/>
    </font>
    <font>
      <b/>
      <u/>
      <sz val="11"/>
      <name val="Arial"/>
      <family val="2"/>
    </font>
    <font>
      <sz val="11"/>
      <color indexed="8"/>
      <name val="Arial"/>
      <family val="2"/>
    </font>
    <font>
      <b/>
      <sz val="14"/>
      <color indexed="8"/>
      <name val="Arial"/>
      <family val="2"/>
    </font>
    <font>
      <b/>
      <sz val="11"/>
      <color indexed="12"/>
      <name val="Arial"/>
      <family val="2"/>
    </font>
    <font>
      <sz val="11"/>
      <color indexed="9"/>
      <name val="Arial"/>
      <family val="2"/>
    </font>
    <font>
      <sz val="10"/>
      <color indexed="9"/>
      <name val="Arial"/>
      <family val="2"/>
    </font>
    <font>
      <u/>
      <sz val="10"/>
      <name val="Arial"/>
      <family val="2"/>
    </font>
    <font>
      <i/>
      <sz val="9"/>
      <name val="Arial"/>
      <family val="2"/>
    </font>
    <font>
      <sz val="11"/>
      <color indexed="12"/>
      <name val="Arial"/>
      <family val="2"/>
    </font>
    <font>
      <i/>
      <sz val="10"/>
      <color indexed="12"/>
      <name val="Arial"/>
      <family val="2"/>
    </font>
    <font>
      <sz val="11"/>
      <color indexed="10"/>
      <name val="Arial"/>
      <family val="2"/>
    </font>
    <font>
      <i/>
      <sz val="10"/>
      <color indexed="8"/>
      <name val="Arial"/>
      <family val="2"/>
    </font>
    <font>
      <i/>
      <sz val="10"/>
      <name val="SWISS"/>
    </font>
    <font>
      <b/>
      <sz val="11.5"/>
      <name val="Arial"/>
      <family val="2"/>
    </font>
    <font>
      <b/>
      <i/>
      <sz val="11"/>
      <name val="Arial"/>
      <family val="2"/>
    </font>
    <font>
      <b/>
      <i/>
      <sz val="10"/>
      <color indexed="10"/>
      <name val="Arial"/>
      <family val="2"/>
    </font>
    <font>
      <b/>
      <i/>
      <sz val="12"/>
      <color indexed="8"/>
      <name val="Arial"/>
      <family val="2"/>
    </font>
    <font>
      <i/>
      <sz val="11.5"/>
      <color indexed="10"/>
      <name val="Arial"/>
      <family val="2"/>
    </font>
    <font>
      <i/>
      <sz val="11.5"/>
      <color indexed="10"/>
      <name val="Tahoma"/>
      <family val="2"/>
    </font>
    <font>
      <sz val="10"/>
      <color indexed="10"/>
      <name val="Arial"/>
      <family val="2"/>
    </font>
    <font>
      <sz val="9"/>
      <color indexed="8"/>
      <name val="Arial"/>
      <family val="2"/>
    </font>
    <font>
      <b/>
      <sz val="10"/>
      <color indexed="10"/>
      <name val="Arial"/>
      <family val="2"/>
    </font>
    <font>
      <sz val="10"/>
      <name val="Times New Roman"/>
      <family val="1"/>
    </font>
    <font>
      <i/>
      <sz val="8"/>
      <name val="Arial"/>
      <family val="2"/>
    </font>
    <font>
      <sz val="10"/>
      <color indexed="56"/>
      <name val="Arial"/>
      <family val="2"/>
    </font>
    <font>
      <b/>
      <sz val="11"/>
      <color indexed="8"/>
      <name val="Arial"/>
      <family val="2"/>
    </font>
    <font>
      <b/>
      <sz val="10"/>
      <color indexed="56"/>
      <name val="Arial"/>
      <family val="2"/>
    </font>
    <font>
      <sz val="10"/>
      <color indexed="63"/>
      <name val="Arial"/>
      <family val="2"/>
    </font>
    <font>
      <i/>
      <sz val="11"/>
      <color indexed="8"/>
      <name val="Arial"/>
      <family val="2"/>
    </font>
    <font>
      <b/>
      <i/>
      <sz val="10"/>
      <color indexed="63"/>
      <name val="Arial"/>
      <family val="2"/>
    </font>
    <font>
      <b/>
      <sz val="10"/>
      <color indexed="63"/>
      <name val="Arial"/>
      <family val="2"/>
    </font>
    <font>
      <sz val="10"/>
      <name val="Courier"/>
      <family val="3"/>
    </font>
    <font>
      <sz val="10"/>
      <color indexed="12"/>
      <name val="Arial"/>
      <family val="2"/>
    </font>
    <font>
      <b/>
      <sz val="10"/>
      <color indexed="12"/>
      <name val="Arial"/>
      <family val="2"/>
    </font>
    <font>
      <b/>
      <sz val="10"/>
      <name val="SWISS"/>
    </font>
    <font>
      <b/>
      <i/>
      <sz val="10"/>
      <color indexed="12"/>
      <name val="Arial"/>
      <family val="2"/>
    </font>
    <font>
      <b/>
      <sz val="10"/>
      <color indexed="12"/>
      <name val="SWISS"/>
    </font>
    <font>
      <b/>
      <sz val="10.5"/>
      <name val="Arial"/>
      <family val="2"/>
    </font>
    <font>
      <i/>
      <sz val="9.5"/>
      <name val="Arial"/>
      <family val="2"/>
    </font>
    <font>
      <i/>
      <sz val="9"/>
      <color indexed="8"/>
      <name val="Arial"/>
      <family val="2"/>
    </font>
    <font>
      <sz val="11"/>
      <color indexed="56"/>
      <name val="Arial"/>
      <family val="2"/>
    </font>
    <font>
      <i/>
      <sz val="11"/>
      <color indexed="60"/>
      <name val="Arial"/>
      <family val="2"/>
    </font>
    <font>
      <sz val="11"/>
      <color theme="1"/>
      <name val="Calibri"/>
      <family val="2"/>
      <scheme val="minor"/>
    </font>
    <font>
      <sz val="11"/>
      <color theme="0"/>
      <name val="Calibri"/>
      <family val="2"/>
      <scheme val="minor"/>
    </font>
    <font>
      <sz val="12"/>
      <color theme="1"/>
      <name val="Arial"/>
      <family val="2"/>
    </font>
    <font>
      <sz val="10"/>
      <color theme="1"/>
      <name val="Arial"/>
      <family val="2"/>
    </font>
    <font>
      <sz val="10"/>
      <color theme="0"/>
      <name val="Arial"/>
      <family val="2"/>
    </font>
    <font>
      <sz val="11"/>
      <color theme="1"/>
      <name val="Arial"/>
      <family val="2"/>
    </font>
    <font>
      <sz val="10"/>
      <color rgb="FFFF0000"/>
      <name val="Arial"/>
      <family val="2"/>
    </font>
    <font>
      <b/>
      <sz val="11"/>
      <color theme="1"/>
      <name val="Arial"/>
      <family val="2"/>
    </font>
    <font>
      <sz val="9"/>
      <color theme="1"/>
      <name val="Arial"/>
      <family val="2"/>
    </font>
    <font>
      <sz val="11"/>
      <color rgb="FFFF0000"/>
      <name val="Arial"/>
      <family val="2"/>
    </font>
    <font>
      <sz val="12"/>
      <color rgb="FFFF0000"/>
      <name val="Arial"/>
      <family val="2"/>
    </font>
    <font>
      <sz val="12"/>
      <color theme="0" tint="-0.14999847407452621"/>
      <name val="Arial"/>
      <family val="2"/>
    </font>
    <font>
      <sz val="11"/>
      <color theme="0" tint="-0.14999847407452621"/>
      <name val="Arial"/>
      <family val="2"/>
    </font>
    <font>
      <b/>
      <sz val="11"/>
      <color theme="0" tint="-0.14999847407452621"/>
      <name val="Arial"/>
      <family val="2"/>
    </font>
    <font>
      <u/>
      <sz val="11"/>
      <color theme="0" tint="-0.14999847407452621"/>
      <name val="Arial"/>
      <family val="2"/>
    </font>
    <font>
      <u/>
      <sz val="11"/>
      <color theme="1"/>
      <name val="Arial"/>
      <family val="2"/>
    </font>
    <font>
      <sz val="14"/>
      <color theme="1"/>
      <name val="Arial"/>
      <family val="2"/>
    </font>
    <font>
      <sz val="18"/>
      <color theme="1"/>
      <name val="Arial"/>
      <family val="2"/>
    </font>
    <font>
      <sz val="12"/>
      <color theme="0"/>
      <name val="Arial"/>
      <family val="2"/>
    </font>
    <font>
      <sz val="11"/>
      <color theme="0"/>
      <name val="Arial"/>
      <family val="2"/>
    </font>
    <font>
      <b/>
      <sz val="11"/>
      <color theme="0"/>
      <name val="Arial"/>
      <family val="2"/>
    </font>
    <font>
      <sz val="9"/>
      <color theme="0"/>
      <name val="Arial"/>
      <family val="2"/>
    </font>
    <font>
      <sz val="11"/>
      <color theme="0" tint="-0.499984740745262"/>
      <name val="Arial"/>
      <family val="2"/>
    </font>
    <font>
      <sz val="12"/>
      <color theme="0" tint="-0.499984740745262"/>
      <name val="Arial"/>
      <family val="2"/>
    </font>
    <font>
      <sz val="9"/>
      <color theme="0" tint="-0.499984740745262"/>
      <name val="Arial"/>
      <family val="2"/>
    </font>
    <font>
      <sz val="10"/>
      <color theme="0" tint="-0.499984740745262"/>
      <name val="Arial"/>
      <family val="2"/>
    </font>
    <font>
      <sz val="10"/>
      <color theme="0" tint="-0.14999847407452621"/>
      <name val="Arial"/>
      <family val="2"/>
    </font>
    <font>
      <sz val="11"/>
      <color theme="5"/>
      <name val="Arial"/>
      <family val="2"/>
    </font>
    <font>
      <sz val="12"/>
      <color theme="5"/>
      <name val="Arial"/>
      <family val="2"/>
    </font>
    <font>
      <b/>
      <i/>
      <sz val="10"/>
      <color rgb="FFFF0000"/>
      <name val="Arial"/>
      <family val="2"/>
    </font>
    <font>
      <b/>
      <i/>
      <u/>
      <sz val="12"/>
      <color rgb="FFFF0000"/>
      <name val="Arial"/>
      <family val="2"/>
    </font>
    <font>
      <b/>
      <sz val="11"/>
      <color rgb="FFFF0000"/>
      <name val="Arial"/>
      <family val="2"/>
    </font>
    <font>
      <sz val="10"/>
      <color theme="1" tint="0.499984740745262"/>
      <name val="Arial"/>
      <family val="2"/>
    </font>
    <font>
      <sz val="10"/>
      <color theme="3"/>
      <name val="Arial"/>
      <family val="2"/>
    </font>
    <font>
      <b/>
      <sz val="12"/>
      <color theme="0" tint="-0.249977111117893"/>
      <name val="Arial"/>
      <family val="2"/>
    </font>
    <font>
      <b/>
      <u/>
      <sz val="10"/>
      <color theme="0" tint="-0.249977111117893"/>
      <name val="Arial"/>
      <family val="2"/>
    </font>
    <font>
      <sz val="10"/>
      <color theme="0" tint="-0.249977111117893"/>
      <name val="Arial"/>
      <family val="2"/>
    </font>
    <font>
      <i/>
      <sz val="10"/>
      <color theme="0" tint="-0.249977111117893"/>
      <name val="Arial"/>
      <family val="2"/>
    </font>
    <font>
      <b/>
      <sz val="10"/>
      <color theme="0" tint="-0.249977111117893"/>
      <name val="Arial"/>
      <family val="2"/>
    </font>
    <font>
      <sz val="12"/>
      <color theme="1" tint="0.499984740745262"/>
      <name val="Arial"/>
      <family val="2"/>
    </font>
    <font>
      <b/>
      <sz val="11"/>
      <color theme="3"/>
      <name val="Arial"/>
      <family val="2"/>
    </font>
    <font>
      <sz val="12"/>
      <color theme="3"/>
      <name val="Arial"/>
      <family val="2"/>
    </font>
    <font>
      <sz val="11"/>
      <color theme="3"/>
      <name val="Arial"/>
      <family val="2"/>
    </font>
    <font>
      <sz val="9"/>
      <color theme="3"/>
      <name val="Arial"/>
      <family val="2"/>
    </font>
    <font>
      <sz val="11"/>
      <color theme="1" tint="0.499984740745262"/>
      <name val="Arial"/>
      <family val="2"/>
    </font>
    <font>
      <b/>
      <sz val="11"/>
      <color theme="1" tint="0.499984740745262"/>
      <name val="Arial"/>
      <family val="2"/>
    </font>
    <font>
      <b/>
      <sz val="11"/>
      <color theme="0" tint="-0.499984740745262"/>
      <name val="Arial"/>
      <family val="2"/>
    </font>
    <font>
      <sz val="11"/>
      <color theme="0" tint="-0.249977111117893"/>
      <name val="Arial"/>
      <family val="2"/>
    </font>
    <font>
      <b/>
      <sz val="10"/>
      <color rgb="FFFF0000"/>
      <name val="Arial"/>
      <family val="2"/>
    </font>
    <font>
      <b/>
      <sz val="14"/>
      <color theme="3"/>
      <name val="Arial"/>
      <family val="2"/>
    </font>
    <font>
      <i/>
      <sz val="10"/>
      <color theme="1" tint="0.34998626667073579"/>
      <name val="Arial"/>
      <family val="2"/>
    </font>
    <font>
      <b/>
      <i/>
      <sz val="10"/>
      <color theme="1" tint="0.34998626667073579"/>
      <name val="Arial"/>
      <family val="2"/>
    </font>
    <font>
      <i/>
      <sz val="11"/>
      <color theme="1" tint="0.34998626667073579"/>
      <name val="Calibri"/>
      <family val="2"/>
      <scheme val="minor"/>
    </font>
    <font>
      <sz val="10"/>
      <color theme="1" tint="0.34998626667073579"/>
      <name val="Arial"/>
      <family val="2"/>
    </font>
    <font>
      <b/>
      <sz val="18"/>
      <color theme="1"/>
      <name val="Arial"/>
      <family val="2"/>
    </font>
    <font>
      <b/>
      <u/>
      <sz val="16"/>
      <color theme="1"/>
      <name val="Arial"/>
      <family val="2"/>
    </font>
    <font>
      <b/>
      <sz val="16"/>
      <color theme="1"/>
      <name val="Arial"/>
      <family val="2"/>
    </font>
    <font>
      <b/>
      <i/>
      <u/>
      <sz val="11"/>
      <color theme="1"/>
      <name val="Arial"/>
      <family val="2"/>
    </font>
    <font>
      <i/>
      <sz val="11"/>
      <color theme="1"/>
      <name val="Arial"/>
      <family val="2"/>
    </font>
    <font>
      <b/>
      <sz val="14"/>
      <color theme="1"/>
      <name val="Arial"/>
      <family val="2"/>
    </font>
    <font>
      <b/>
      <i/>
      <sz val="9"/>
      <color theme="1" tint="0.34998626667073579"/>
      <name val="Arial"/>
      <family val="2"/>
    </font>
    <font>
      <sz val="9"/>
      <color theme="1" tint="0.34998626667073579"/>
      <name val="Arial"/>
      <family val="2"/>
    </font>
    <font>
      <i/>
      <sz val="9"/>
      <color theme="1" tint="0.34998626667073579"/>
      <name val="Arial"/>
      <family val="2"/>
    </font>
    <font>
      <i/>
      <sz val="10"/>
      <color theme="1" tint="0.249977111117893"/>
      <name val="Arial"/>
      <family val="2"/>
    </font>
    <font>
      <sz val="10"/>
      <color theme="1" tint="0.249977111117893"/>
      <name val="Arial"/>
      <family val="2"/>
    </font>
    <font>
      <b/>
      <sz val="12"/>
      <color theme="3"/>
      <name val="Arial"/>
      <family val="2"/>
    </font>
    <font>
      <b/>
      <sz val="11"/>
      <color theme="1" tint="0.249977111117893"/>
      <name val="Arial"/>
      <family val="2"/>
    </font>
    <font>
      <b/>
      <sz val="10"/>
      <color theme="3"/>
      <name val="Arial"/>
      <family val="2"/>
    </font>
    <font>
      <b/>
      <u/>
      <sz val="18"/>
      <color theme="3"/>
      <name val="Arial"/>
      <family val="2"/>
    </font>
    <font>
      <b/>
      <sz val="18"/>
      <color theme="3"/>
      <name val="Arial"/>
      <family val="2"/>
    </font>
    <font>
      <b/>
      <i/>
      <sz val="11"/>
      <color theme="3"/>
      <name val="Arial"/>
      <family val="2"/>
    </font>
    <font>
      <sz val="10"/>
      <color rgb="FF000000"/>
      <name val="Arial"/>
      <family val="2"/>
    </font>
    <font>
      <b/>
      <sz val="11"/>
      <color rgb="FF33CC33"/>
      <name val="Arial"/>
      <family val="2"/>
    </font>
    <font>
      <i/>
      <sz val="9"/>
      <color theme="3"/>
      <name val="Arial"/>
      <family val="2"/>
    </font>
    <font>
      <sz val="11"/>
      <color rgb="FF000000"/>
      <name val="Arial"/>
      <family val="2"/>
    </font>
    <font>
      <sz val="9"/>
      <color rgb="FF000000"/>
      <name val="Arial"/>
      <family val="2"/>
    </font>
    <font>
      <i/>
      <u/>
      <sz val="10"/>
      <color rgb="FFFF0000"/>
      <name val="Arial"/>
      <family val="2"/>
    </font>
    <font>
      <i/>
      <sz val="10"/>
      <color rgb="FFFF0000"/>
      <name val="Arial"/>
      <family val="2"/>
    </font>
    <font>
      <b/>
      <sz val="11"/>
      <color theme="0" tint="-0.249977111117893"/>
      <name val="Arial"/>
      <family val="2"/>
    </font>
    <font>
      <i/>
      <sz val="10"/>
      <color theme="1"/>
      <name val="Arial"/>
      <family val="2"/>
    </font>
    <font>
      <i/>
      <u/>
      <sz val="9"/>
      <color theme="3"/>
      <name val="Arial"/>
      <family val="2"/>
    </font>
    <font>
      <b/>
      <i/>
      <sz val="11"/>
      <color theme="0"/>
      <name val="Arial"/>
      <family val="2"/>
    </font>
    <font>
      <i/>
      <sz val="11"/>
      <color theme="0"/>
      <name val="Arial"/>
      <family val="2"/>
    </font>
    <font>
      <sz val="11"/>
      <color theme="3"/>
      <name val="Calibri"/>
      <family val="2"/>
      <scheme val="minor"/>
    </font>
    <font>
      <b/>
      <sz val="10"/>
      <color theme="1"/>
      <name val="Arial"/>
      <family val="2"/>
    </font>
    <font>
      <u/>
      <sz val="10"/>
      <color theme="1"/>
      <name val="Arial"/>
      <family val="2"/>
    </font>
    <font>
      <b/>
      <sz val="10"/>
      <color theme="1" tint="0.34998626667073579"/>
      <name val="Arial"/>
      <family val="2"/>
    </font>
    <font>
      <sz val="11"/>
      <color theme="1" tint="0.34998626667073579"/>
      <name val="Calibri"/>
      <family val="2"/>
      <scheme val="minor"/>
    </font>
    <font>
      <sz val="14"/>
      <color theme="3"/>
      <name val="Arial"/>
      <family val="2"/>
    </font>
    <font>
      <b/>
      <sz val="16"/>
      <color theme="3"/>
      <name val="Arial"/>
      <family val="2"/>
    </font>
    <font>
      <b/>
      <sz val="10"/>
      <color theme="1" tint="0.249977111117893"/>
      <name val="Arial"/>
      <family val="2"/>
    </font>
    <font>
      <b/>
      <sz val="12"/>
      <color theme="1"/>
      <name val="Arial"/>
      <family val="2"/>
    </font>
    <font>
      <b/>
      <u/>
      <sz val="10"/>
      <name val="Arial"/>
      <family val="2"/>
    </font>
    <font>
      <sz val="10"/>
      <color theme="3"/>
      <name val="Times New Roman"/>
      <family val="1"/>
    </font>
    <font>
      <sz val="8"/>
      <name val="Times New Roman"/>
      <family val="1"/>
    </font>
    <font>
      <sz val="8"/>
      <name val="Times New Roman"/>
      <family val="1"/>
    </font>
    <font>
      <b/>
      <sz val="11"/>
      <color theme="1"/>
      <name val="Calibri"/>
      <family val="2"/>
      <scheme val="minor"/>
    </font>
    <font>
      <b/>
      <sz val="14"/>
      <color theme="1"/>
      <name val="Calibri"/>
      <family val="2"/>
      <scheme val="minor"/>
    </font>
    <font>
      <b/>
      <sz val="14"/>
      <color theme="3"/>
      <name val="Calibri"/>
      <family val="2"/>
      <scheme val="minor"/>
    </font>
    <font>
      <b/>
      <sz val="12"/>
      <color theme="1"/>
      <name val="Calibri"/>
      <family val="2"/>
      <scheme val="minor"/>
    </font>
    <font>
      <b/>
      <i/>
      <sz val="12"/>
      <color rgb="FFC00000"/>
      <name val="Arial"/>
      <family val="2"/>
    </font>
    <font>
      <i/>
      <sz val="12"/>
      <color rgb="FFC00000"/>
      <name val="Arial"/>
      <family val="2"/>
    </font>
    <font>
      <b/>
      <i/>
      <sz val="12"/>
      <color rgb="FFFF0000"/>
      <name val="Arial"/>
      <family val="2"/>
    </font>
    <font>
      <b/>
      <i/>
      <u/>
      <sz val="12"/>
      <color indexed="10"/>
      <name val="Arial"/>
      <family val="2"/>
    </font>
    <font>
      <b/>
      <sz val="11"/>
      <color rgb="FF0000FF"/>
      <name val="Arial"/>
      <family val="2"/>
    </font>
    <font>
      <sz val="11"/>
      <color rgb="FF0000FF"/>
      <name val="Arial"/>
      <family val="2"/>
    </font>
    <font>
      <sz val="10.5"/>
      <color theme="1"/>
      <name val="Arial"/>
      <family val="2"/>
    </font>
    <font>
      <u/>
      <sz val="12"/>
      <color theme="10"/>
      <name val="Arial"/>
      <family val="2"/>
    </font>
    <font>
      <u/>
      <sz val="10"/>
      <color theme="10"/>
      <name val="Arial"/>
      <family val="2"/>
    </font>
  </fonts>
  <fills count="1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darkGray">
        <bgColor indexed="55"/>
      </patternFill>
    </fill>
    <fill>
      <patternFill patternType="solid">
        <fgColor indexed="26"/>
        <bgColor indexed="64"/>
      </patternFill>
    </fill>
    <fill>
      <patternFill patternType="solid">
        <fgColor indexed="42"/>
        <bgColor indexed="64"/>
      </patternFill>
    </fill>
    <fill>
      <patternFill patternType="solid">
        <fgColor theme="0"/>
        <bgColor indexed="64"/>
      </patternFill>
    </fill>
    <fill>
      <patternFill patternType="gray0625">
        <bgColor theme="0" tint="-0.34998626667073579"/>
      </patternFill>
    </fill>
    <fill>
      <patternFill patternType="solid">
        <fgColor rgb="FFFFFF99"/>
        <bgColor indexed="64"/>
      </patternFill>
    </fill>
    <fill>
      <patternFill patternType="solid">
        <fgColor theme="6" tint="0.59999389629810485"/>
        <bgColor indexed="64"/>
      </patternFill>
    </fill>
    <fill>
      <patternFill patternType="solid">
        <fgColor rgb="FFCCFFCC"/>
        <bgColor indexed="64"/>
      </patternFill>
    </fill>
    <fill>
      <patternFill patternType="solid">
        <fgColor theme="0"/>
        <bgColor theme="1" tint="0.14996795556505021"/>
      </patternFill>
    </fill>
    <fill>
      <patternFill patternType="solid">
        <fgColor rgb="FFFFFFCC"/>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theme="1" tint="0.249977111117893"/>
      </top>
      <bottom/>
      <diagonal/>
    </border>
    <border>
      <left style="thin">
        <color theme="1" tint="0.249977111117893"/>
      </left>
      <right style="thin">
        <color indexed="64"/>
      </right>
      <top/>
      <bottom/>
      <diagonal/>
    </border>
    <border>
      <left style="thin">
        <color theme="1" tint="0.249977111117893"/>
      </left>
      <right style="thin">
        <color indexed="64"/>
      </right>
      <top/>
      <bottom style="thin">
        <color indexed="64"/>
      </bottom>
      <diagonal/>
    </border>
    <border>
      <left style="thin">
        <color theme="1" tint="0.249977111117893"/>
      </left>
      <right style="thin">
        <color indexed="64"/>
      </right>
      <top style="thin">
        <color indexed="64"/>
      </top>
      <bottom style="thin">
        <color indexed="64"/>
      </bottom>
      <diagonal/>
    </border>
    <border>
      <left/>
      <right/>
      <top/>
      <bottom style="thin">
        <color theme="1" tint="0.249977111117893"/>
      </bottom>
      <diagonal/>
    </border>
    <border>
      <left/>
      <right/>
      <top/>
      <bottom style="thin">
        <color theme="1" tint="0.34998626667073579"/>
      </bottom>
      <diagonal/>
    </border>
    <border>
      <left style="thin">
        <color theme="1" tint="0.249977111117893"/>
      </left>
      <right/>
      <top/>
      <bottom style="thin">
        <color theme="1" tint="0.34998626667073579"/>
      </bottom>
      <diagonal/>
    </border>
    <border>
      <left/>
      <right style="thin">
        <color theme="1" tint="0.249977111117893"/>
      </right>
      <top/>
      <bottom style="thin">
        <color theme="1" tint="0.34998626667073579"/>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bottom style="thin">
        <color theme="1" tint="0.249977111117893"/>
      </bottom>
      <diagonal/>
    </border>
    <border>
      <left/>
      <right style="thin">
        <color theme="1" tint="0.249977111117893"/>
      </right>
      <top/>
      <bottom style="thin">
        <color theme="1" tint="0.249977111117893"/>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5">
    <xf numFmtId="0" fontId="0" fillId="0" borderId="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77" fillId="0" borderId="0"/>
    <xf numFmtId="172" fontId="66" fillId="0" borderId="0" applyFill="0" applyBorder="0"/>
    <xf numFmtId="172" fontId="66" fillId="0" borderId="0" applyFill="0" applyBorder="0"/>
    <xf numFmtId="9" fontId="2" fillId="0" borderId="0" applyFont="0" applyFill="0" applyBorder="0" applyAlignment="0" applyProtection="0"/>
    <xf numFmtId="172" fontId="17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2" fontId="172" fillId="0" borderId="0"/>
    <xf numFmtId="9" fontId="1" fillId="0" borderId="0" applyFont="0" applyFill="0" applyBorder="0" applyAlignment="0" applyProtection="0"/>
    <xf numFmtId="0" fontId="184" fillId="0" borderId="0" applyNumberFormat="0" applyFill="0" applyBorder="0" applyAlignment="0" applyProtection="0"/>
  </cellStyleXfs>
  <cellXfs count="1450">
    <xf numFmtId="0" fontId="0" fillId="0" borderId="0" xfId="0"/>
    <xf numFmtId="0" fontId="3" fillId="0" borderId="0" xfId="0" applyFont="1"/>
    <xf numFmtId="0" fontId="5" fillId="0" borderId="0" xfId="0" applyFont="1"/>
    <xf numFmtId="5" fontId="3" fillId="0" borderId="0" xfId="0" applyNumberFormat="1" applyFont="1" applyAlignment="1">
      <alignment horizontal="right"/>
    </xf>
    <xf numFmtId="0" fontId="8" fillId="0" borderId="0" xfId="0" applyFont="1"/>
    <xf numFmtId="0" fontId="14" fillId="0" borderId="0" xfId="0" applyFont="1"/>
    <xf numFmtId="0" fontId="8" fillId="0" borderId="0" xfId="0" applyFont="1" applyAlignment="1">
      <alignment horizontal="center"/>
    </xf>
    <xf numFmtId="6" fontId="0" fillId="0" borderId="0" xfId="0" applyNumberFormat="1"/>
    <xf numFmtId="0" fontId="3" fillId="0" borderId="0" xfId="0" applyFont="1" applyAlignment="1">
      <alignment horizontal="center"/>
    </xf>
    <xf numFmtId="0" fontId="13" fillId="0" borderId="0" xfId="0" applyFont="1"/>
    <xf numFmtId="0" fontId="0" fillId="0" borderId="0" xfId="0" applyAlignment="1">
      <alignment horizontal="right"/>
    </xf>
    <xf numFmtId="37" fontId="3" fillId="0" borderId="0" xfId="0" applyNumberFormat="1" applyFont="1"/>
    <xf numFmtId="0" fontId="0" fillId="0" borderId="1" xfId="0" applyBorder="1"/>
    <xf numFmtId="0" fontId="0" fillId="0" borderId="0" xfId="0" applyAlignment="1">
      <alignment horizontal="center"/>
    </xf>
    <xf numFmtId="0" fontId="11" fillId="0" borderId="0" xfId="0" applyFont="1"/>
    <xf numFmtId="0" fontId="10" fillId="0" borderId="0" xfId="0" applyFont="1" applyAlignment="1">
      <alignment horizontal="left" indent="1"/>
    </xf>
    <xf numFmtId="168" fontId="0" fillId="0" borderId="0" xfId="0" applyNumberFormat="1"/>
    <xf numFmtId="0" fontId="17" fillId="0" borderId="0" xfId="0" applyFont="1"/>
    <xf numFmtId="0" fontId="15" fillId="0" borderId="0" xfId="0" applyFont="1"/>
    <xf numFmtId="0" fontId="18" fillId="0" borderId="0" xfId="0" applyFont="1"/>
    <xf numFmtId="6" fontId="19" fillId="0" borderId="0" xfId="0" applyNumberFormat="1" applyFont="1"/>
    <xf numFmtId="0" fontId="10" fillId="0" borderId="0" xfId="0" applyFont="1" applyAlignment="1">
      <alignment wrapText="1"/>
    </xf>
    <xf numFmtId="0" fontId="22" fillId="0" borderId="0" xfId="0" applyFont="1"/>
    <xf numFmtId="0" fontId="12" fillId="0" borderId="0" xfId="0" applyFont="1"/>
    <xf numFmtId="0" fontId="0" fillId="0" borderId="1" xfId="0" applyBorder="1" applyAlignment="1">
      <alignment horizontal="center"/>
    </xf>
    <xf numFmtId="9" fontId="0" fillId="0" borderId="2" xfId="0" applyNumberFormat="1" applyBorder="1" applyAlignment="1">
      <alignment horizontal="right"/>
    </xf>
    <xf numFmtId="6" fontId="0" fillId="0" borderId="2" xfId="0" applyNumberFormat="1" applyBorder="1" applyAlignment="1">
      <alignment horizontal="right"/>
    </xf>
    <xf numFmtId="6" fontId="17" fillId="0" borderId="0" xfId="0" applyNumberFormat="1" applyFont="1"/>
    <xf numFmtId="0" fontId="24" fillId="0" borderId="0" xfId="0" applyFont="1" applyAlignment="1">
      <alignment horizontal="center"/>
    </xf>
    <xf numFmtId="0" fontId="15" fillId="0" borderId="0" xfId="0" applyFont="1" applyAlignment="1">
      <alignment horizontal="center" vertical="center"/>
    </xf>
    <xf numFmtId="0" fontId="25" fillId="0" borderId="0" xfId="0" applyFont="1"/>
    <xf numFmtId="0" fontId="0" fillId="0" borderId="0" xfId="0" quotePrefix="1"/>
    <xf numFmtId="0" fontId="1" fillId="0" borderId="0" xfId="0" applyFont="1"/>
    <xf numFmtId="0" fontId="79" fillId="0" borderId="0" xfId="0" applyFont="1"/>
    <xf numFmtId="0" fontId="79" fillId="0" borderId="0" xfId="0" applyFont="1" applyProtection="1">
      <protection hidden="1"/>
    </xf>
    <xf numFmtId="0" fontId="28" fillId="0" borderId="0" xfId="0" applyFont="1" applyAlignment="1">
      <alignment horizontal="right"/>
    </xf>
    <xf numFmtId="0" fontId="28" fillId="0" borderId="1" xfId="0" applyFont="1" applyBorder="1" applyAlignment="1">
      <alignment horizontal="left"/>
    </xf>
    <xf numFmtId="0" fontId="80" fillId="7" borderId="0" xfId="0" applyFont="1" applyFill="1"/>
    <xf numFmtId="0" fontId="0" fillId="7" borderId="0" xfId="0" applyFill="1"/>
    <xf numFmtId="0" fontId="2" fillId="7" borderId="0" xfId="0" applyFont="1" applyFill="1"/>
    <xf numFmtId="0" fontId="1" fillId="7" borderId="0" xfId="0" applyFont="1" applyFill="1"/>
    <xf numFmtId="0" fontId="1" fillId="7" borderId="3" xfId="0" applyFont="1" applyFill="1" applyBorder="1"/>
    <xf numFmtId="6" fontId="1" fillId="7" borderId="3" xfId="0" applyNumberFormat="1" applyFont="1" applyFill="1" applyBorder="1"/>
    <xf numFmtId="164" fontId="1" fillId="7" borderId="3" xfId="7" applyNumberFormat="1" applyFont="1" applyFill="1" applyBorder="1"/>
    <xf numFmtId="6" fontId="1" fillId="7" borderId="0" xfId="0" applyNumberFormat="1" applyFont="1" applyFill="1"/>
    <xf numFmtId="0" fontId="0" fillId="7" borderId="0" xfId="0" quotePrefix="1" applyFill="1"/>
    <xf numFmtId="164" fontId="1" fillId="7" borderId="0" xfId="7" applyNumberFormat="1" applyFont="1" applyFill="1" applyBorder="1"/>
    <xf numFmtId="0" fontId="1" fillId="7" borderId="1" xfId="0" applyFont="1" applyFill="1" applyBorder="1"/>
    <xf numFmtId="0" fontId="27" fillId="7" borderId="0" xfId="0" applyFont="1" applyFill="1"/>
    <xf numFmtId="6" fontId="27" fillId="7" borderId="0" xfId="0" applyNumberFormat="1" applyFont="1" applyFill="1"/>
    <xf numFmtId="0" fontId="26" fillId="7" borderId="0" xfId="0" applyFont="1" applyFill="1"/>
    <xf numFmtId="0" fontId="1" fillId="7" borderId="0" xfId="0" applyFont="1" applyFill="1" applyAlignment="1">
      <alignment horizontal="right"/>
    </xf>
    <xf numFmtId="0" fontId="1" fillId="7" borderId="0" xfId="0" applyFont="1" applyFill="1" applyAlignment="1">
      <alignment horizontal="center"/>
    </xf>
    <xf numFmtId="0" fontId="26" fillId="7" borderId="0" xfId="0" applyFont="1" applyFill="1" applyAlignment="1">
      <alignment horizontal="center"/>
    </xf>
    <xf numFmtId="9" fontId="1" fillId="7" borderId="0" xfId="0" applyNumberFormat="1" applyFont="1" applyFill="1"/>
    <xf numFmtId="37" fontId="1" fillId="7" borderId="0" xfId="0" applyNumberFormat="1" applyFont="1" applyFill="1"/>
    <xf numFmtId="0" fontId="2" fillId="7" borderId="0" xfId="0" applyFont="1" applyFill="1" applyAlignment="1">
      <alignment horizontal="left"/>
    </xf>
    <xf numFmtId="0" fontId="11" fillId="0" borderId="0" xfId="0" applyFont="1" applyAlignment="1">
      <alignment horizontal="center"/>
    </xf>
    <xf numFmtId="0" fontId="7" fillId="0" borderId="0" xfId="0" applyFont="1"/>
    <xf numFmtId="0" fontId="1" fillId="7" borderId="0" xfId="0" applyFont="1" applyFill="1" applyAlignment="1">
      <alignment vertical="center"/>
    </xf>
    <xf numFmtId="5" fontId="3" fillId="0" borderId="0" xfId="0" applyNumberFormat="1" applyFont="1"/>
    <xf numFmtId="1" fontId="3" fillId="0" borderId="0" xfId="0" applyNumberFormat="1" applyFont="1"/>
    <xf numFmtId="0" fontId="34" fillId="0" borderId="0" xfId="0" applyFont="1" applyAlignment="1">
      <alignment horizontal="center"/>
    </xf>
    <xf numFmtId="0" fontId="2" fillId="0" borderId="0" xfId="0" applyFont="1"/>
    <xf numFmtId="6" fontId="28" fillId="0" borderId="0" xfId="0" applyNumberFormat="1" applyFont="1" applyAlignment="1">
      <alignment horizontal="center"/>
    </xf>
    <xf numFmtId="0" fontId="12" fillId="7" borderId="0" xfId="0" applyFont="1" applyFill="1"/>
    <xf numFmtId="0" fontId="81" fillId="7" borderId="0" xfId="0" applyFont="1" applyFill="1"/>
    <xf numFmtId="6" fontId="0" fillId="7" borderId="1" xfId="0" applyNumberFormat="1" applyFill="1" applyBorder="1"/>
    <xf numFmtId="0" fontId="4" fillId="0" borderId="0" xfId="0" applyFont="1"/>
    <xf numFmtId="0" fontId="37" fillId="0" borderId="0" xfId="0" applyFont="1"/>
    <xf numFmtId="0" fontId="12" fillId="0" borderId="0" xfId="0" applyFont="1" applyAlignment="1">
      <alignment horizontal="left"/>
    </xf>
    <xf numFmtId="0" fontId="12" fillId="0" borderId="0" xfId="0" applyFont="1" applyAlignment="1">
      <alignment horizontal="center"/>
    </xf>
    <xf numFmtId="0" fontId="39" fillId="0" borderId="0" xfId="0" applyFont="1" applyProtection="1">
      <protection hidden="1"/>
    </xf>
    <xf numFmtId="0" fontId="82" fillId="0" borderId="0" xfId="0" applyFont="1" applyProtection="1">
      <protection hidden="1"/>
    </xf>
    <xf numFmtId="0" fontId="3" fillId="7" borderId="0" xfId="0" applyFont="1" applyFill="1"/>
    <xf numFmtId="0" fontId="2" fillId="7" borderId="0" xfId="0" applyFont="1" applyFill="1" applyAlignment="1">
      <alignment horizontal="left" indent="2"/>
    </xf>
    <xf numFmtId="0" fontId="2" fillId="7" borderId="3" xfId="0" applyFont="1" applyFill="1" applyBorder="1" applyAlignment="1">
      <alignment horizontal="left"/>
    </xf>
    <xf numFmtId="0" fontId="2" fillId="7" borderId="3" xfId="0" applyFont="1" applyFill="1" applyBorder="1"/>
    <xf numFmtId="0" fontId="2" fillId="7" borderId="1" xfId="0" applyFont="1" applyFill="1" applyBorder="1" applyAlignment="1">
      <alignment horizontal="left" indent="2"/>
    </xf>
    <xf numFmtId="0" fontId="1" fillId="7" borderId="1" xfId="0" applyFont="1" applyFill="1" applyBorder="1" applyAlignment="1">
      <alignment horizontal="right"/>
    </xf>
    <xf numFmtId="164" fontId="2" fillId="7" borderId="3" xfId="0" applyNumberFormat="1" applyFont="1" applyFill="1" applyBorder="1" applyAlignment="1">
      <alignment horizontal="center"/>
    </xf>
    <xf numFmtId="164" fontId="2" fillId="7" borderId="0" xfId="0" applyNumberFormat="1" applyFont="1" applyFill="1" applyAlignment="1">
      <alignment horizontal="center"/>
    </xf>
    <xf numFmtId="0" fontId="2" fillId="7" borderId="1" xfId="0" applyFont="1" applyFill="1" applyBorder="1" applyAlignment="1">
      <alignment horizontal="left"/>
    </xf>
    <xf numFmtId="0" fontId="2" fillId="7" borderId="1" xfId="0" applyFont="1" applyFill="1" applyBorder="1"/>
    <xf numFmtId="164" fontId="2" fillId="7" borderId="1" xfId="0" applyNumberFormat="1" applyFont="1" applyFill="1" applyBorder="1" applyAlignment="1">
      <alignment horizontal="center"/>
    </xf>
    <xf numFmtId="39" fontId="1" fillId="7" borderId="0" xfId="0" applyNumberFormat="1" applyFont="1" applyFill="1" applyAlignment="1">
      <alignment horizontal="center"/>
    </xf>
    <xf numFmtId="39" fontId="1" fillId="7" borderId="1" xfId="0" applyNumberFormat="1" applyFont="1" applyFill="1" applyBorder="1" applyAlignment="1">
      <alignment horizontal="center"/>
    </xf>
    <xf numFmtId="6" fontId="1" fillId="7" borderId="0" xfId="0" applyNumberFormat="1" applyFont="1" applyFill="1" applyAlignment="1">
      <alignment horizontal="center"/>
    </xf>
    <xf numFmtId="6" fontId="1" fillId="7" borderId="1" xfId="0" applyNumberFormat="1" applyFont="1" applyFill="1" applyBorder="1" applyAlignment="1">
      <alignment horizontal="center"/>
    </xf>
    <xf numFmtId="0" fontId="41" fillId="7" borderId="3" xfId="0" applyFont="1" applyFill="1" applyBorder="1"/>
    <xf numFmtId="0" fontId="41" fillId="7" borderId="0" xfId="0" applyFont="1" applyFill="1" applyAlignment="1">
      <alignment horizontal="left"/>
    </xf>
    <xf numFmtId="0" fontId="83" fillId="7" borderId="1" xfId="0" applyFont="1" applyFill="1" applyBorder="1"/>
    <xf numFmtId="0" fontId="27" fillId="7" borderId="0" xfId="0" applyFont="1" applyFill="1" applyAlignment="1">
      <alignment vertical="center"/>
    </xf>
    <xf numFmtId="164" fontId="1" fillId="7" borderId="0" xfId="7" applyNumberFormat="1" applyFont="1" applyFill="1" applyBorder="1" applyAlignment="1">
      <alignment vertical="center"/>
    </xf>
    <xf numFmtId="6" fontId="1" fillId="7" borderId="0" xfId="0" applyNumberFormat="1" applyFont="1" applyFill="1" applyAlignment="1">
      <alignment vertical="center"/>
    </xf>
    <xf numFmtId="0" fontId="26" fillId="0" borderId="0" xfId="0" applyFont="1" applyAlignment="1">
      <alignment horizontal="center"/>
    </xf>
    <xf numFmtId="0" fontId="3" fillId="0" borderId="0" xfId="0" quotePrefix="1" applyFont="1"/>
    <xf numFmtId="0" fontId="7" fillId="0" borderId="1" xfId="0" applyFont="1" applyBorder="1"/>
    <xf numFmtId="0" fontId="16" fillId="0" borderId="0" xfId="0" applyFont="1"/>
    <xf numFmtId="0" fontId="84" fillId="0" borderId="0" xfId="0" applyFont="1"/>
    <xf numFmtId="0" fontId="79" fillId="7" borderId="0" xfId="0" applyFont="1" applyFill="1"/>
    <xf numFmtId="0" fontId="16" fillId="7" borderId="0" xfId="0" applyFont="1" applyFill="1"/>
    <xf numFmtId="0" fontId="0" fillId="7" borderId="0" xfId="0" applyFill="1" applyAlignment="1">
      <alignment horizontal="fill"/>
    </xf>
    <xf numFmtId="0" fontId="29" fillId="7" borderId="0" xfId="0" applyFont="1" applyFill="1"/>
    <xf numFmtId="0" fontId="2" fillId="7" borderId="0" xfId="0" applyFont="1" applyFill="1" applyAlignment="1">
      <alignment horizontal="center"/>
    </xf>
    <xf numFmtId="0" fontId="2" fillId="7" borderId="3" xfId="0" applyFont="1" applyFill="1" applyBorder="1" applyAlignment="1">
      <alignment horizontal="center"/>
    </xf>
    <xf numFmtId="164" fontId="2" fillId="7" borderId="3" xfId="7" applyNumberFormat="1" applyFont="1" applyFill="1" applyBorder="1" applyAlignment="1" applyProtection="1">
      <alignment horizontal="center"/>
    </xf>
    <xf numFmtId="164" fontId="2" fillId="7" borderId="0" xfId="7" applyNumberFormat="1" applyFont="1" applyFill="1" applyBorder="1" applyAlignment="1" applyProtection="1">
      <alignment horizontal="center"/>
    </xf>
    <xf numFmtId="0" fontId="2" fillId="7" borderId="3" xfId="0" applyFont="1" applyFill="1" applyBorder="1" applyAlignment="1">
      <alignment horizontal="left" indent="1"/>
    </xf>
    <xf numFmtId="0" fontId="26" fillId="7" borderId="0" xfId="0" applyFont="1" applyFill="1" applyAlignment="1">
      <alignment horizontal="left"/>
    </xf>
    <xf numFmtId="0" fontId="40" fillId="0" borderId="0" xfId="0" applyFont="1" applyProtection="1">
      <protection hidden="1"/>
    </xf>
    <xf numFmtId="0" fontId="12" fillId="0" borderId="1" xfId="0" applyFont="1" applyBorder="1"/>
    <xf numFmtId="6" fontId="12" fillId="0" borderId="0" xfId="0" applyNumberFormat="1" applyFont="1"/>
    <xf numFmtId="0" fontId="85" fillId="7" borderId="0" xfId="0" applyFont="1" applyFill="1"/>
    <xf numFmtId="0" fontId="2" fillId="7" borderId="0" xfId="0" applyFont="1" applyFill="1" applyAlignment="1">
      <alignment horizontal="left" indent="1"/>
    </xf>
    <xf numFmtId="0" fontId="12" fillId="0" borderId="0" xfId="0" quotePrefix="1" applyFont="1"/>
    <xf numFmtId="6" fontId="5" fillId="0" borderId="0" xfId="0" applyNumberFormat="1" applyFont="1"/>
    <xf numFmtId="6" fontId="12" fillId="0" borderId="2" xfId="0" applyNumberFormat="1" applyFont="1" applyBorder="1"/>
    <xf numFmtId="10" fontId="12" fillId="3" borderId="2" xfId="7" applyNumberFormat="1" applyFont="1" applyFill="1" applyBorder="1" applyAlignment="1" applyProtection="1">
      <alignment horizontal="center"/>
      <protection locked="0"/>
    </xf>
    <xf numFmtId="1" fontId="12" fillId="3" borderId="4" xfId="0" applyNumberFormat="1" applyFont="1" applyFill="1" applyBorder="1" applyAlignment="1" applyProtection="1">
      <alignment horizontal="center"/>
      <protection locked="0"/>
    </xf>
    <xf numFmtId="0" fontId="12" fillId="3" borderId="4" xfId="0" applyFont="1" applyFill="1" applyBorder="1" applyAlignment="1" applyProtection="1">
      <alignment horizontal="center"/>
      <protection locked="0"/>
    </xf>
    <xf numFmtId="10" fontId="12" fillId="3" borderId="2" xfId="0" applyNumberFormat="1" applyFont="1" applyFill="1" applyBorder="1" applyAlignment="1" applyProtection="1">
      <alignment horizontal="center"/>
      <protection locked="0"/>
    </xf>
    <xf numFmtId="0" fontId="12" fillId="3" borderId="1" xfId="0" applyFont="1" applyFill="1" applyBorder="1" applyProtection="1">
      <protection locked="0"/>
    </xf>
    <xf numFmtId="0" fontId="12" fillId="3" borderId="5" xfId="0" applyFont="1" applyFill="1" applyBorder="1" applyProtection="1">
      <protection locked="0"/>
    </xf>
    <xf numFmtId="6" fontId="12" fillId="0" borderId="0" xfId="0" applyNumberFormat="1" applyFont="1" applyAlignment="1">
      <alignment horizontal="center"/>
    </xf>
    <xf numFmtId="10" fontId="12" fillId="0" borderId="0" xfId="0" applyNumberFormat="1" applyFont="1" applyAlignment="1">
      <alignment horizontal="center"/>
    </xf>
    <xf numFmtId="0" fontId="38" fillId="0" borderId="0" xfId="0" applyFont="1" applyAlignment="1">
      <alignment wrapText="1"/>
    </xf>
    <xf numFmtId="0" fontId="12" fillId="0" borderId="0" xfId="0" applyFont="1" applyAlignment="1">
      <alignment wrapText="1"/>
    </xf>
    <xf numFmtId="0" fontId="16" fillId="0" borderId="0" xfId="0" applyFont="1" applyAlignment="1">
      <alignment wrapText="1"/>
    </xf>
    <xf numFmtId="0" fontId="12" fillId="0" borderId="3" xfId="0" applyFont="1" applyBorder="1"/>
    <xf numFmtId="0" fontId="12" fillId="3" borderId="6" xfId="0" applyFont="1" applyFill="1" applyBorder="1" applyProtection="1">
      <protection locked="0"/>
    </xf>
    <xf numFmtId="10" fontId="3" fillId="0" borderId="0" xfId="0" applyNumberFormat="1" applyFont="1" applyAlignment="1">
      <alignment horizontal="center"/>
    </xf>
    <xf numFmtId="10" fontId="0" fillId="0" borderId="0" xfId="0" applyNumberFormat="1" applyAlignment="1">
      <alignment horizontal="center"/>
    </xf>
    <xf numFmtId="0" fontId="36" fillId="0" borderId="0" xfId="0" applyFont="1"/>
    <xf numFmtId="0" fontId="9" fillId="0" borderId="0" xfId="0" applyFont="1"/>
    <xf numFmtId="0" fontId="10" fillId="0" borderId="0" xfId="0" applyFont="1"/>
    <xf numFmtId="0" fontId="6" fillId="0" borderId="0" xfId="0" applyFont="1"/>
    <xf numFmtId="0" fontId="10" fillId="0" borderId="0" xfId="0" applyFont="1" applyAlignment="1">
      <alignment horizontal="left"/>
    </xf>
    <xf numFmtId="0" fontId="36" fillId="3" borderId="1" xfId="0" applyFont="1" applyFill="1" applyBorder="1" applyProtection="1">
      <protection locked="0"/>
    </xf>
    <xf numFmtId="0" fontId="36" fillId="0" borderId="3" xfId="0" applyFont="1" applyBorder="1"/>
    <xf numFmtId="0" fontId="12" fillId="7" borderId="0" xfId="0" applyFont="1" applyFill="1" applyAlignment="1">
      <alignment horizontal="center"/>
    </xf>
    <xf numFmtId="0" fontId="2" fillId="0" borderId="0" xfId="0" applyFont="1" applyAlignment="1">
      <alignment horizontal="right" vertical="center"/>
    </xf>
    <xf numFmtId="6" fontId="12" fillId="7" borderId="0" xfId="0" applyNumberFormat="1" applyFont="1" applyFill="1"/>
    <xf numFmtId="0" fontId="82" fillId="0" borderId="0" xfId="0" applyFont="1"/>
    <xf numFmtId="0" fontId="16" fillId="0" borderId="0" xfId="0" applyFont="1" applyAlignment="1">
      <alignment horizontal="center"/>
    </xf>
    <xf numFmtId="0" fontId="82" fillId="0" borderId="0" xfId="0" applyFont="1" applyAlignment="1">
      <alignment horizontal="center" vertical="top"/>
    </xf>
    <xf numFmtId="0" fontId="12" fillId="0" borderId="1" xfId="0" applyFont="1" applyBorder="1" applyAlignment="1">
      <alignment horizontal="center"/>
    </xf>
    <xf numFmtId="0" fontId="12" fillId="0" borderId="1" xfId="0" applyFont="1" applyBorder="1" applyAlignment="1">
      <alignment horizontal="center" wrapText="1"/>
    </xf>
    <xf numFmtId="6" fontId="12" fillId="0" borderId="3" xfId="0" applyNumberFormat="1" applyFont="1" applyBorder="1"/>
    <xf numFmtId="0" fontId="12" fillId="0" borderId="3" xfId="0" applyFont="1" applyBorder="1" applyAlignment="1">
      <alignment horizontal="left"/>
    </xf>
    <xf numFmtId="0" fontId="12" fillId="0" borderId="7" xfId="0" applyFont="1" applyBorder="1" applyAlignment="1">
      <alignment horizontal="center"/>
    </xf>
    <xf numFmtId="0" fontId="12" fillId="0" borderId="1" xfId="0" applyFont="1" applyBorder="1" applyAlignment="1">
      <alignment horizontal="right"/>
    </xf>
    <xf numFmtId="0" fontId="12" fillId="0" borderId="1" xfId="0" applyFont="1" applyBorder="1" applyAlignment="1">
      <alignment horizontal="left"/>
    </xf>
    <xf numFmtId="0" fontId="16" fillId="0" borderId="0" xfId="0" applyFont="1" applyAlignment="1">
      <alignment horizontal="left"/>
    </xf>
    <xf numFmtId="3" fontId="16" fillId="0" borderId="0" xfId="1" applyNumberFormat="1" applyFont="1" applyBorder="1" applyAlignment="1" applyProtection="1">
      <alignment horizontal="center"/>
    </xf>
    <xf numFmtId="171" fontId="28" fillId="7" borderId="0" xfId="1" applyNumberFormat="1" applyFont="1" applyFill="1" applyAlignment="1"/>
    <xf numFmtId="9" fontId="12" fillId="0" borderId="0" xfId="0" applyNumberFormat="1" applyFont="1" applyAlignment="1">
      <alignment horizontal="center"/>
    </xf>
    <xf numFmtId="0" fontId="12" fillId="7" borderId="1" xfId="0" applyFont="1" applyFill="1" applyBorder="1" applyAlignment="1">
      <alignment horizontal="center"/>
    </xf>
    <xf numFmtId="0" fontId="86" fillId="0" borderId="0" xfId="0" applyFont="1"/>
    <xf numFmtId="0" fontId="16" fillId="0" borderId="5" xfId="0" applyFont="1" applyBorder="1" applyAlignment="1">
      <alignment horizontal="center"/>
    </xf>
    <xf numFmtId="0" fontId="16" fillId="0" borderId="3" xfId="0" applyFont="1" applyBorder="1" applyAlignment="1">
      <alignment horizontal="center"/>
    </xf>
    <xf numFmtId="0" fontId="12" fillId="0" borderId="8" xfId="0" applyFont="1" applyBorder="1" applyAlignment="1">
      <alignment horizontal="left"/>
    </xf>
    <xf numFmtId="165" fontId="12" fillId="3" borderId="9" xfId="0" applyNumberFormat="1" applyFont="1" applyFill="1" applyBorder="1" applyAlignment="1" applyProtection="1">
      <alignment horizontal="center" vertical="center"/>
      <protection locked="0"/>
    </xf>
    <xf numFmtId="165" fontId="12" fillId="0" borderId="7" xfId="0" applyNumberFormat="1" applyFont="1" applyBorder="1" applyAlignment="1">
      <alignment horizontal="center" vertical="center"/>
    </xf>
    <xf numFmtId="164" fontId="12" fillId="0" borderId="0" xfId="0" applyNumberFormat="1" applyFont="1"/>
    <xf numFmtId="164" fontId="12" fillId="0" borderId="3" xfId="0" applyNumberFormat="1" applyFont="1" applyBorder="1" applyAlignment="1">
      <alignment horizontal="center" vertical="center"/>
    </xf>
    <xf numFmtId="0" fontId="12" fillId="0" borderId="6" xfId="0" applyFont="1" applyBorder="1" applyAlignment="1">
      <alignment horizontal="left"/>
    </xf>
    <xf numFmtId="165" fontId="12" fillId="3" borderId="2" xfId="0" applyNumberFormat="1" applyFont="1" applyFill="1" applyBorder="1" applyAlignment="1" applyProtection="1">
      <alignment horizontal="center" vertical="center"/>
      <protection locked="0"/>
    </xf>
    <xf numFmtId="164" fontId="12" fillId="0" borderId="0" xfId="0" applyNumberFormat="1" applyFont="1" applyAlignment="1">
      <alignment horizontal="center" vertical="center"/>
    </xf>
    <xf numFmtId="0" fontId="12" fillId="7" borderId="0" xfId="0" applyFont="1" applyFill="1" applyProtection="1">
      <protection hidden="1"/>
    </xf>
    <xf numFmtId="164" fontId="12" fillId="0" borderId="0" xfId="0" applyNumberFormat="1" applyFont="1" applyAlignment="1">
      <alignment horizontal="left" indent="1"/>
    </xf>
    <xf numFmtId="164" fontId="12" fillId="7" borderId="0" xfId="0" applyNumberFormat="1" applyFont="1" applyFill="1" applyAlignment="1">
      <alignment horizontal="center" vertical="center"/>
    </xf>
    <xf numFmtId="0" fontId="12" fillId="3" borderId="6" xfId="0" applyFont="1" applyFill="1" applyBorder="1" applyAlignment="1" applyProtection="1">
      <alignment horizontal="left"/>
      <protection locked="0"/>
    </xf>
    <xf numFmtId="165" fontId="12" fillId="3" borderId="10" xfId="0" applyNumberFormat="1" applyFont="1" applyFill="1" applyBorder="1" applyAlignment="1" applyProtection="1">
      <alignment horizontal="center" vertical="center"/>
      <protection locked="0"/>
    </xf>
    <xf numFmtId="164" fontId="12" fillId="0" borderId="11" xfId="0" applyNumberFormat="1" applyFont="1" applyBorder="1" applyAlignment="1">
      <alignment horizontal="center" vertical="center"/>
    </xf>
    <xf numFmtId="0" fontId="16" fillId="0" borderId="12" xfId="0" applyFont="1" applyBorder="1" applyAlignment="1">
      <alignment horizontal="right"/>
    </xf>
    <xf numFmtId="165" fontId="16" fillId="0" borderId="13" xfId="0" applyNumberFormat="1" applyFont="1" applyBorder="1" applyAlignment="1">
      <alignment horizontal="center" vertical="center"/>
    </xf>
    <xf numFmtId="165" fontId="16" fillId="0" borderId="14" xfId="0" applyNumberFormat="1" applyFont="1" applyBorder="1" applyAlignment="1">
      <alignment horizontal="center" vertical="center"/>
    </xf>
    <xf numFmtId="164" fontId="16" fillId="0" borderId="0" xfId="0" applyNumberFormat="1" applyFont="1" applyAlignment="1">
      <alignment horizontal="center" vertical="center"/>
    </xf>
    <xf numFmtId="165" fontId="12" fillId="0" borderId="1" xfId="0" applyNumberFormat="1" applyFont="1" applyBorder="1" applyAlignment="1">
      <alignment horizontal="center" vertical="center"/>
    </xf>
    <xf numFmtId="0" fontId="12" fillId="0" borderId="8" xfId="0" applyFont="1" applyBorder="1"/>
    <xf numFmtId="0" fontId="12" fillId="0" borderId="6" xfId="0" applyFont="1" applyBorder="1"/>
    <xf numFmtId="0" fontId="16" fillId="0" borderId="11" xfId="0" applyFont="1" applyBorder="1" applyAlignment="1">
      <alignment horizontal="right"/>
    </xf>
    <xf numFmtId="165" fontId="16" fillId="0" borderId="11" xfId="0" applyNumberFormat="1" applyFont="1" applyBorder="1" applyAlignment="1">
      <alignment horizontal="center" vertical="center"/>
    </xf>
    <xf numFmtId="164" fontId="16" fillId="0" borderId="11" xfId="0" applyNumberFormat="1" applyFont="1" applyBorder="1" applyAlignment="1">
      <alignment horizontal="center" vertical="center"/>
    </xf>
    <xf numFmtId="6" fontId="1" fillId="7" borderId="3" xfId="0" applyNumberFormat="1" applyFont="1" applyFill="1" applyBorder="1" applyAlignment="1">
      <alignment horizontal="center"/>
    </xf>
    <xf numFmtId="165" fontId="16" fillId="0" borderId="0" xfId="0" applyNumberFormat="1" applyFont="1"/>
    <xf numFmtId="0" fontId="30" fillId="0" borderId="0" xfId="0" applyFont="1" applyAlignment="1">
      <alignment horizontal="center"/>
    </xf>
    <xf numFmtId="165" fontId="16" fillId="0" borderId="0" xfId="0" applyNumberFormat="1" applyFont="1" applyAlignment="1">
      <alignment horizontal="center"/>
    </xf>
    <xf numFmtId="0" fontId="82" fillId="7" borderId="0" xfId="0" applyFont="1" applyFill="1"/>
    <xf numFmtId="0" fontId="2" fillId="0" borderId="1" xfId="0" applyFont="1" applyBorder="1" applyAlignment="1">
      <alignment horizontal="center"/>
    </xf>
    <xf numFmtId="0" fontId="2" fillId="0" borderId="1" xfId="0" applyFont="1" applyBorder="1" applyAlignment="1">
      <alignment horizontal="center" wrapText="1"/>
    </xf>
    <xf numFmtId="0" fontId="87" fillId="0" borderId="0" xfId="0" applyFont="1"/>
    <xf numFmtId="0" fontId="87" fillId="0" borderId="0" xfId="0" quotePrefix="1" applyFont="1"/>
    <xf numFmtId="0" fontId="29" fillId="0" borderId="1" xfId="0" applyFont="1" applyBorder="1" applyAlignment="1">
      <alignment horizontal="center" wrapText="1"/>
    </xf>
    <xf numFmtId="0" fontId="31" fillId="7" borderId="0" xfId="0" applyFont="1" applyFill="1"/>
    <xf numFmtId="0" fontId="20" fillId="7" borderId="0" xfId="0" applyFont="1" applyFill="1"/>
    <xf numFmtId="0" fontId="83" fillId="7" borderId="0" xfId="0" applyFont="1" applyFill="1" applyAlignment="1">
      <alignment vertical="center" wrapText="1"/>
    </xf>
    <xf numFmtId="0" fontId="26" fillId="0" borderId="1" xfId="0" applyFont="1" applyBorder="1" applyAlignment="1">
      <alignment horizontal="center"/>
    </xf>
    <xf numFmtId="175" fontId="12" fillId="3" borderId="1" xfId="0" applyNumberFormat="1" applyFont="1" applyFill="1" applyBorder="1" applyAlignment="1" applyProtection="1">
      <alignment horizontal="center"/>
      <protection locked="0"/>
    </xf>
    <xf numFmtId="0" fontId="82" fillId="7" borderId="0" xfId="0" applyFont="1" applyFill="1" applyAlignment="1">
      <alignment horizontal="center"/>
    </xf>
    <xf numFmtId="0" fontId="88" fillId="7" borderId="0" xfId="0" applyFont="1" applyFill="1"/>
    <xf numFmtId="0" fontId="89" fillId="7" borderId="0" xfId="0" applyFont="1" applyFill="1"/>
    <xf numFmtId="0" fontId="90" fillId="7" borderId="0" xfId="0" applyFont="1" applyFill="1"/>
    <xf numFmtId="0" fontId="89" fillId="7" borderId="0" xfId="0" applyFont="1" applyFill="1" applyAlignment="1">
      <alignment horizontal="center"/>
    </xf>
    <xf numFmtId="0" fontId="12" fillId="0" borderId="15" xfId="0" applyFont="1" applyBorder="1" applyAlignment="1">
      <alignment horizontal="center"/>
    </xf>
    <xf numFmtId="0" fontId="2" fillId="0" borderId="0" xfId="0" applyFont="1" applyAlignment="1">
      <alignment horizontal="left"/>
    </xf>
    <xf numFmtId="9" fontId="82" fillId="7" borderId="0" xfId="0" applyNumberFormat="1" applyFont="1" applyFill="1" applyAlignment="1">
      <alignment horizontal="center"/>
    </xf>
    <xf numFmtId="0" fontId="90" fillId="7" borderId="0" xfId="0" applyFont="1" applyFill="1" applyAlignment="1">
      <alignment horizontal="center"/>
    </xf>
    <xf numFmtId="0" fontId="91" fillId="7" borderId="0" xfId="0" applyFont="1" applyFill="1" applyAlignment="1">
      <alignment horizontal="center"/>
    </xf>
    <xf numFmtId="1" fontId="82" fillId="7" borderId="0" xfId="0" applyNumberFormat="1" applyFont="1" applyFill="1" applyAlignment="1">
      <alignment horizontal="center"/>
    </xf>
    <xf numFmtId="1" fontId="84" fillId="7" borderId="0" xfId="1" applyNumberFormat="1" applyFont="1" applyFill="1" applyBorder="1" applyAlignment="1">
      <alignment horizontal="center"/>
    </xf>
    <xf numFmtId="1" fontId="92" fillId="7" borderId="0" xfId="0" applyNumberFormat="1" applyFont="1" applyFill="1" applyAlignment="1">
      <alignment horizontal="center"/>
    </xf>
    <xf numFmtId="0" fontId="92" fillId="7" borderId="0" xfId="0" applyFont="1" applyFill="1" applyAlignment="1">
      <alignment horizontal="center"/>
    </xf>
    <xf numFmtId="0" fontId="28" fillId="0" borderId="3" xfId="0" applyFont="1" applyBorder="1" applyAlignment="1">
      <alignment horizontal="center"/>
    </xf>
    <xf numFmtId="0" fontId="16" fillId="7" borderId="0" xfId="0" applyFont="1" applyFill="1" applyAlignment="1">
      <alignment horizontal="left"/>
    </xf>
    <xf numFmtId="0" fontId="16" fillId="7" borderId="0" xfId="0" applyFont="1" applyFill="1" applyAlignment="1">
      <alignment horizontal="center"/>
    </xf>
    <xf numFmtId="6" fontId="16" fillId="7" borderId="0" xfId="0" applyNumberFormat="1" applyFont="1" applyFill="1" applyAlignment="1">
      <alignment horizontal="center"/>
    </xf>
    <xf numFmtId="164" fontId="16" fillId="7" borderId="0" xfId="0" applyNumberFormat="1" applyFont="1" applyFill="1" applyAlignment="1">
      <alignment horizontal="center"/>
    </xf>
    <xf numFmtId="0" fontId="33" fillId="2" borderId="0" xfId="0" applyFont="1" applyFill="1"/>
    <xf numFmtId="10" fontId="33" fillId="2" borderId="0" xfId="0" applyNumberFormat="1" applyFont="1" applyFill="1"/>
    <xf numFmtId="0" fontId="45" fillId="2" borderId="0" xfId="0" applyFont="1" applyFill="1"/>
    <xf numFmtId="0" fontId="26" fillId="0" borderId="1" xfId="0" applyFont="1" applyBorder="1" applyAlignment="1">
      <alignment horizontal="center" wrapText="1"/>
    </xf>
    <xf numFmtId="0" fontId="36" fillId="2" borderId="0" xfId="0" applyFont="1" applyFill="1"/>
    <xf numFmtId="164" fontId="16" fillId="2" borderId="0" xfId="7" applyNumberFormat="1" applyFont="1" applyFill="1" applyBorder="1" applyAlignment="1">
      <alignment horizontal="center"/>
    </xf>
    <xf numFmtId="0" fontId="0" fillId="0" borderId="3" xfId="0" applyBorder="1"/>
    <xf numFmtId="165" fontId="12" fillId="0" borderId="3" xfId="0" applyNumberFormat="1" applyFont="1" applyBorder="1"/>
    <xf numFmtId="165" fontId="12" fillId="0" borderId="0" xfId="0" applyNumberFormat="1" applyFont="1"/>
    <xf numFmtId="165" fontId="12" fillId="0" borderId="1" xfId="0" applyNumberFormat="1" applyFont="1" applyBorder="1"/>
    <xf numFmtId="0" fontId="0" fillId="0" borderId="3" xfId="0" applyBorder="1" applyAlignment="1">
      <alignment horizontal="center"/>
    </xf>
    <xf numFmtId="165" fontId="12" fillId="3" borderId="4" xfId="0" applyNumberFormat="1" applyFont="1" applyFill="1" applyBorder="1" applyAlignment="1" applyProtection="1">
      <alignment horizontal="center" vertical="center"/>
      <protection locked="0"/>
    </xf>
    <xf numFmtId="0" fontId="12" fillId="0" borderId="3" xfId="0" applyFont="1" applyBorder="1" applyAlignment="1">
      <alignment vertical="center"/>
    </xf>
    <xf numFmtId="0" fontId="12" fillId="0" borderId="0" xfId="0" applyFont="1" applyAlignment="1">
      <alignment vertical="center"/>
    </xf>
    <xf numFmtId="165" fontId="12" fillId="3" borderId="1" xfId="0" applyNumberFormat="1" applyFont="1" applyFill="1" applyBorder="1" applyAlignment="1" applyProtection="1">
      <alignment horizontal="left" vertical="center"/>
      <protection locked="0"/>
    </xf>
    <xf numFmtId="165" fontId="30" fillId="0" borderId="16" xfId="0" applyNumberFormat="1" applyFont="1" applyBorder="1" applyAlignment="1">
      <alignment horizontal="right"/>
    </xf>
    <xf numFmtId="0" fontId="30" fillId="0" borderId="0" xfId="0" applyFont="1"/>
    <xf numFmtId="5" fontId="30" fillId="0" borderId="0" xfId="0" applyNumberFormat="1" applyFont="1"/>
    <xf numFmtId="165" fontId="47" fillId="0" borderId="0" xfId="0" applyNumberFormat="1" applyFont="1" applyAlignment="1">
      <alignment horizontal="center"/>
    </xf>
    <xf numFmtId="37" fontId="47" fillId="0" borderId="0" xfId="0" applyNumberFormat="1" applyFont="1" applyAlignment="1">
      <alignment horizontal="left" indent="1"/>
    </xf>
    <xf numFmtId="37" fontId="12" fillId="7" borderId="0" xfId="0" applyNumberFormat="1" applyFont="1" applyFill="1" applyAlignment="1">
      <alignment horizontal="left" indent="1"/>
    </xf>
    <xf numFmtId="37" fontId="12" fillId="7" borderId="1" xfId="0" applyNumberFormat="1" applyFont="1" applyFill="1" applyBorder="1" applyAlignment="1">
      <alignment horizontal="left" indent="1"/>
    </xf>
    <xf numFmtId="0" fontId="48" fillId="7" borderId="1" xfId="0" applyFont="1" applyFill="1" applyBorder="1"/>
    <xf numFmtId="37" fontId="12" fillId="7" borderId="3" xfId="0" applyNumberFormat="1" applyFont="1" applyFill="1" applyBorder="1" applyAlignment="1">
      <alignment horizontal="left" indent="1"/>
    </xf>
    <xf numFmtId="0" fontId="86" fillId="8" borderId="3" xfId="0" applyFont="1" applyFill="1" applyBorder="1" applyAlignment="1">
      <alignment horizontal="center"/>
    </xf>
    <xf numFmtId="0" fontId="86" fillId="8" borderId="7" xfId="0" applyFont="1" applyFill="1" applyBorder="1" applyAlignment="1">
      <alignment horizontal="center"/>
    </xf>
    <xf numFmtId="0" fontId="86" fillId="8" borderId="15" xfId="0" applyFont="1" applyFill="1" applyBorder="1" applyAlignment="1">
      <alignment horizontal="center"/>
    </xf>
    <xf numFmtId="0" fontId="86" fillId="8" borderId="17" xfId="0" applyFont="1" applyFill="1" applyBorder="1" applyAlignment="1">
      <alignment horizontal="center"/>
    </xf>
    <xf numFmtId="0" fontId="86" fillId="8" borderId="1" xfId="0" applyFont="1" applyFill="1" applyBorder="1" applyAlignment="1">
      <alignment horizontal="center"/>
    </xf>
    <xf numFmtId="0" fontId="86" fillId="8" borderId="9" xfId="0" applyFont="1" applyFill="1" applyBorder="1" applyAlignment="1">
      <alignment horizontal="center"/>
    </xf>
    <xf numFmtId="0" fontId="86" fillId="8" borderId="16" xfId="0" applyFont="1" applyFill="1" applyBorder="1" applyAlignment="1">
      <alignment horizontal="center"/>
    </xf>
    <xf numFmtId="0" fontId="86" fillId="8" borderId="10" xfId="0" applyFont="1" applyFill="1" applyBorder="1" applyAlignment="1">
      <alignment horizontal="center"/>
    </xf>
    <xf numFmtId="6" fontId="12" fillId="3" borderId="2" xfId="0" applyNumberFormat="1" applyFont="1" applyFill="1" applyBorder="1" applyAlignment="1" applyProtection="1">
      <alignment horizontal="right"/>
      <protection locked="0"/>
    </xf>
    <xf numFmtId="0" fontId="86" fillId="8" borderId="9" xfId="0" applyFont="1" applyFill="1" applyBorder="1" applyAlignment="1">
      <alignment horizontal="right"/>
    </xf>
    <xf numFmtId="6" fontId="5" fillId="0" borderId="0" xfId="0" applyNumberFormat="1" applyFont="1" applyAlignment="1">
      <alignment horizontal="right"/>
    </xf>
    <xf numFmtId="0" fontId="7" fillId="0" borderId="0" xfId="0" applyFont="1" applyAlignment="1">
      <alignment horizontal="right"/>
    </xf>
    <xf numFmtId="0" fontId="0" fillId="7" borderId="1" xfId="0" applyFill="1" applyBorder="1" applyAlignment="1">
      <alignment horizontal="right"/>
    </xf>
    <xf numFmtId="6" fontId="12" fillId="3" borderId="9" xfId="0" applyNumberFormat="1" applyFont="1" applyFill="1" applyBorder="1" applyAlignment="1" applyProtection="1">
      <alignment horizontal="right"/>
      <protection locked="0"/>
    </xf>
    <xf numFmtId="6" fontId="12" fillId="3" borderId="6" xfId="0" applyNumberFormat="1" applyFont="1" applyFill="1" applyBorder="1" applyAlignment="1" applyProtection="1">
      <alignment horizontal="right"/>
      <protection locked="0"/>
    </xf>
    <xf numFmtId="6" fontId="19" fillId="0" borderId="0" xfId="0" applyNumberFormat="1" applyFont="1" applyAlignment="1">
      <alignment horizontal="right"/>
    </xf>
    <xf numFmtId="6" fontId="10" fillId="0" borderId="6" xfId="0" applyNumberFormat="1" applyFont="1" applyBorder="1" applyAlignment="1">
      <alignment horizontal="right"/>
    </xf>
    <xf numFmtId="0" fontId="93" fillId="7" borderId="0" xfId="0" applyFont="1" applyFill="1"/>
    <xf numFmtId="0" fontId="94" fillId="7" borderId="0" xfId="0" applyFont="1" applyFill="1"/>
    <xf numFmtId="6" fontId="80" fillId="7" borderId="0" xfId="0" applyNumberFormat="1" applyFont="1" applyFill="1"/>
    <xf numFmtId="0" fontId="80" fillId="7" borderId="0" xfId="0" applyFont="1" applyFill="1" applyAlignment="1">
      <alignment vertical="center"/>
    </xf>
    <xf numFmtId="0" fontId="80" fillId="7" borderId="0" xfId="0" applyFont="1" applyFill="1" applyAlignment="1">
      <alignment wrapText="1"/>
    </xf>
    <xf numFmtId="5" fontId="16" fillId="0" borderId="0" xfId="0" applyNumberFormat="1" applyFont="1" applyAlignment="1">
      <alignment horizontal="center"/>
    </xf>
    <xf numFmtId="0" fontId="7" fillId="0" borderId="1" xfId="0" applyFont="1" applyBorder="1" applyAlignment="1">
      <alignment wrapText="1"/>
    </xf>
    <xf numFmtId="0" fontId="12" fillId="8" borderId="9" xfId="0" applyFont="1" applyFill="1" applyBorder="1" applyAlignment="1">
      <alignment horizontal="right"/>
    </xf>
    <xf numFmtId="6" fontId="3" fillId="0" borderId="2" xfId="0" applyNumberFormat="1" applyFont="1" applyBorder="1" applyAlignment="1">
      <alignment horizontal="right"/>
    </xf>
    <xf numFmtId="0" fontId="96" fillId="0" borderId="0" xfId="0" applyFont="1"/>
    <xf numFmtId="0" fontId="97" fillId="0" borderId="0" xfId="0" applyFont="1"/>
    <xf numFmtId="0" fontId="95" fillId="7" borderId="0" xfId="0" applyFont="1" applyFill="1"/>
    <xf numFmtId="0" fontId="98" fillId="7" borderId="0" xfId="0" applyFont="1" applyFill="1"/>
    <xf numFmtId="0" fontId="96" fillId="7" borderId="0" xfId="0" applyFont="1" applyFill="1"/>
    <xf numFmtId="37" fontId="2" fillId="7" borderId="0" xfId="0" applyNumberFormat="1" applyFont="1" applyFill="1" applyAlignment="1">
      <alignment horizontal="left"/>
    </xf>
    <xf numFmtId="0" fontId="16" fillId="0" borderId="3" xfId="0" applyFont="1" applyBorder="1" applyAlignment="1">
      <alignment horizontal="right"/>
    </xf>
    <xf numFmtId="0" fontId="83" fillId="7" borderId="0" xfId="0" applyFont="1" applyFill="1" applyAlignment="1">
      <alignment horizontal="center" vertical="center" wrapText="1"/>
    </xf>
    <xf numFmtId="0" fontId="78" fillId="7" borderId="0" xfId="4" applyFont="1" applyFill="1" applyAlignment="1">
      <alignment horizontal="left"/>
    </xf>
    <xf numFmtId="0" fontId="12" fillId="0" borderId="5" xfId="0" applyFont="1" applyBorder="1"/>
    <xf numFmtId="0" fontId="16" fillId="0" borderId="3" xfId="0" applyFont="1" applyBorder="1"/>
    <xf numFmtId="0" fontId="16" fillId="0" borderId="1" xfId="0" applyFont="1" applyBorder="1" applyAlignment="1">
      <alignment horizontal="center"/>
    </xf>
    <xf numFmtId="0" fontId="12" fillId="0" borderId="0" xfId="0" applyFont="1" applyAlignment="1">
      <alignment horizontal="left" indent="3"/>
    </xf>
    <xf numFmtId="0" fontId="33" fillId="2" borderId="0" xfId="0" applyFont="1" applyFill="1" applyAlignment="1">
      <alignment vertical="center"/>
    </xf>
    <xf numFmtId="0" fontId="36" fillId="2" borderId="0" xfId="0" applyFont="1" applyFill="1" applyAlignment="1">
      <alignment vertical="center"/>
    </xf>
    <xf numFmtId="10" fontId="12" fillId="2" borderId="0" xfId="7" applyNumberFormat="1" applyFont="1" applyFill="1" applyBorder="1" applyAlignment="1">
      <alignment horizontal="center" vertical="center"/>
    </xf>
    <xf numFmtId="0" fontId="99" fillId="7" borderId="0" xfId="0" applyFont="1" applyFill="1"/>
    <xf numFmtId="0" fontId="99" fillId="7" borderId="0" xfId="0" applyFont="1" applyFill="1" applyAlignment="1">
      <alignment horizontal="center"/>
    </xf>
    <xf numFmtId="0" fontId="100" fillId="7" borderId="0" xfId="0" applyFont="1" applyFill="1"/>
    <xf numFmtId="0" fontId="101" fillId="7" borderId="0" xfId="0" applyFont="1" applyFill="1"/>
    <xf numFmtId="0" fontId="102" fillId="7" borderId="0" xfId="0" applyFont="1" applyFill="1"/>
    <xf numFmtId="164" fontId="1" fillId="7" borderId="3" xfId="7" applyNumberFormat="1" applyFont="1" applyFill="1" applyBorder="1" applyAlignment="1">
      <alignment horizontal="center"/>
    </xf>
    <xf numFmtId="164" fontId="1" fillId="7" borderId="0" xfId="7" applyNumberFormat="1" applyFont="1" applyFill="1" applyBorder="1" applyAlignment="1">
      <alignment horizontal="center"/>
    </xf>
    <xf numFmtId="164" fontId="1" fillId="7" borderId="1" xfId="7" applyNumberFormat="1" applyFont="1" applyFill="1" applyBorder="1" applyAlignment="1">
      <alignment horizontal="center"/>
    </xf>
    <xf numFmtId="6" fontId="10" fillId="0" borderId="4" xfId="0" applyNumberFormat="1" applyFont="1" applyBorder="1"/>
    <xf numFmtId="6" fontId="12" fillId="0" borderId="1" xfId="0" applyNumberFormat="1" applyFont="1" applyBorder="1" applyAlignment="1">
      <alignment horizontal="center"/>
    </xf>
    <xf numFmtId="6" fontId="96" fillId="0" borderId="0" xfId="0" applyNumberFormat="1" applyFont="1"/>
    <xf numFmtId="0" fontId="83" fillId="0" borderId="0" xfId="0" applyFont="1"/>
    <xf numFmtId="0" fontId="87" fillId="7" borderId="0" xfId="0" applyFont="1" applyFill="1"/>
    <xf numFmtId="0" fontId="83" fillId="2" borderId="0" xfId="0" applyFont="1" applyFill="1"/>
    <xf numFmtId="0" fontId="83" fillId="2" borderId="0" xfId="0" applyFont="1" applyFill="1" applyAlignment="1">
      <alignment vertical="center"/>
    </xf>
    <xf numFmtId="0" fontId="7" fillId="7" borderId="0" xfId="0" applyFont="1" applyFill="1"/>
    <xf numFmtId="164" fontId="12" fillId="9" borderId="4" xfId="0" applyNumberFormat="1" applyFont="1" applyFill="1" applyBorder="1" applyAlignment="1" applyProtection="1">
      <alignment horizontal="center"/>
      <protection locked="0"/>
    </xf>
    <xf numFmtId="164" fontId="12" fillId="9" borderId="2" xfId="7" applyNumberFormat="1" applyFont="1" applyFill="1" applyBorder="1" applyAlignment="1" applyProtection="1">
      <alignment horizontal="center"/>
      <protection locked="0"/>
    </xf>
    <xf numFmtId="165" fontId="12" fillId="9" borderId="2" xfId="0" applyNumberFormat="1" applyFont="1" applyFill="1" applyBorder="1" applyAlignment="1" applyProtection="1">
      <alignment horizontal="center"/>
      <protection locked="0"/>
    </xf>
    <xf numFmtId="0" fontId="12" fillId="3" borderId="6" xfId="0" applyFont="1" applyFill="1" applyBorder="1" applyAlignment="1" applyProtection="1">
      <alignment horizontal="center"/>
      <protection locked="0"/>
    </xf>
    <xf numFmtId="0" fontId="29" fillId="3" borderId="2" xfId="0" applyFont="1" applyFill="1" applyBorder="1" applyAlignment="1" applyProtection="1">
      <alignment horizontal="center"/>
      <protection locked="0"/>
    </xf>
    <xf numFmtId="0" fontId="12" fillId="3" borderId="2" xfId="0" applyFont="1" applyFill="1" applyBorder="1" applyAlignment="1" applyProtection="1">
      <alignment horizontal="center"/>
      <protection locked="0"/>
    </xf>
    <xf numFmtId="0" fontId="23" fillId="3" borderId="2" xfId="0" applyFont="1" applyFill="1" applyBorder="1" applyAlignment="1" applyProtection="1">
      <alignment horizontal="center"/>
      <protection locked="0"/>
    </xf>
    <xf numFmtId="3" fontId="12" fillId="3" borderId="2" xfId="0" applyNumberFormat="1" applyFont="1" applyFill="1" applyBorder="1" applyAlignment="1" applyProtection="1">
      <alignment horizontal="center"/>
      <protection locked="0"/>
    </xf>
    <xf numFmtId="3" fontId="12" fillId="9" borderId="2" xfId="1" applyNumberFormat="1" applyFont="1" applyFill="1" applyBorder="1" applyAlignment="1" applyProtection="1">
      <alignment horizontal="center"/>
      <protection locked="0"/>
    </xf>
    <xf numFmtId="165" fontId="12" fillId="3" borderId="5" xfId="0" applyNumberFormat="1" applyFont="1" applyFill="1" applyBorder="1" applyAlignment="1" applyProtection="1">
      <alignment horizontal="center"/>
      <protection locked="0"/>
    </xf>
    <xf numFmtId="165" fontId="12" fillId="3" borderId="1" xfId="0" applyNumberFormat="1" applyFont="1" applyFill="1" applyBorder="1" applyAlignment="1" applyProtection="1">
      <alignment horizontal="center"/>
      <protection locked="0"/>
    </xf>
    <xf numFmtId="0" fontId="12" fillId="9" borderId="1" xfId="0" applyFont="1" applyFill="1" applyBorder="1" applyAlignment="1" applyProtection="1">
      <alignment horizontal="center"/>
      <protection locked="0"/>
    </xf>
    <xf numFmtId="0" fontId="12" fillId="9" borderId="5" xfId="0" applyFont="1" applyFill="1" applyBorder="1" applyAlignment="1" applyProtection="1">
      <alignment horizontal="center"/>
      <protection locked="0"/>
    </xf>
    <xf numFmtId="0" fontId="38" fillId="7" borderId="0" xfId="0" applyFont="1" applyFill="1"/>
    <xf numFmtId="0" fontId="12" fillId="0" borderId="0" xfId="0" applyFont="1" applyAlignment="1">
      <alignment vertical="top"/>
    </xf>
    <xf numFmtId="0" fontId="0" fillId="0" borderId="0" xfId="0" applyAlignment="1">
      <alignment vertical="top"/>
    </xf>
    <xf numFmtId="0" fontId="103" fillId="7" borderId="0" xfId="0" applyFont="1" applyFill="1"/>
    <xf numFmtId="0" fontId="80" fillId="0" borderId="0" xfId="0" applyFont="1"/>
    <xf numFmtId="0" fontId="81" fillId="0" borderId="0" xfId="0" applyFont="1"/>
    <xf numFmtId="0" fontId="20" fillId="7" borderId="0" xfId="0" applyFont="1" applyFill="1" applyAlignment="1">
      <alignment horizontal="center"/>
    </xf>
    <xf numFmtId="0" fontId="30" fillId="7" borderId="18" xfId="0" applyFont="1" applyFill="1" applyBorder="1" applyAlignment="1">
      <alignment vertical="center" wrapText="1"/>
    </xf>
    <xf numFmtId="0" fontId="104" fillId="0" borderId="0" xfId="0" applyFont="1"/>
    <xf numFmtId="0" fontId="104" fillId="0" borderId="0" xfId="0" applyFont="1" applyAlignment="1">
      <alignment horizontal="center"/>
    </xf>
    <xf numFmtId="0" fontId="105" fillId="0" borderId="0" xfId="0" applyFont="1"/>
    <xf numFmtId="165" fontId="105" fillId="0" borderId="0" xfId="0" applyNumberFormat="1" applyFont="1"/>
    <xf numFmtId="0" fontId="12" fillId="9" borderId="2" xfId="0" applyFont="1" applyFill="1" applyBorder="1" applyAlignment="1" applyProtection="1">
      <alignment wrapText="1"/>
      <protection locked="0"/>
    </xf>
    <xf numFmtId="37" fontId="12" fillId="7" borderId="15" xfId="0" applyNumberFormat="1" applyFont="1" applyFill="1" applyBorder="1" applyAlignment="1">
      <alignment horizontal="left" indent="1"/>
    </xf>
    <xf numFmtId="37" fontId="12" fillId="7" borderId="17" xfId="0" applyNumberFormat="1" applyFont="1" applyFill="1" applyBorder="1" applyAlignment="1">
      <alignment horizontal="left" indent="1"/>
    </xf>
    <xf numFmtId="37" fontId="12" fillId="7" borderId="7" xfId="0" applyNumberFormat="1" applyFont="1" applyFill="1" applyBorder="1" applyAlignment="1">
      <alignment horizontal="left" indent="1"/>
    </xf>
    <xf numFmtId="6" fontId="106" fillId="2" borderId="0" xfId="0" applyNumberFormat="1" applyFont="1" applyFill="1" applyAlignment="1">
      <alignment vertical="center"/>
    </xf>
    <xf numFmtId="6" fontId="12" fillId="0" borderId="10" xfId="0" applyNumberFormat="1" applyFont="1" applyBorder="1"/>
    <xf numFmtId="6" fontId="10" fillId="0" borderId="2" xfId="0" applyNumberFormat="1" applyFont="1" applyBorder="1"/>
    <xf numFmtId="6" fontId="10" fillId="0" borderId="2" xfId="0" applyNumberFormat="1" applyFont="1" applyBorder="1" applyAlignment="1">
      <alignment horizontal="right"/>
    </xf>
    <xf numFmtId="6" fontId="0" fillId="3" borderId="2" xfId="0" applyNumberFormat="1" applyFill="1" applyBorder="1" applyProtection="1">
      <protection locked="0"/>
    </xf>
    <xf numFmtId="6" fontId="3" fillId="7" borderId="2" xfId="0" applyNumberFormat="1" applyFont="1" applyFill="1" applyBorder="1"/>
    <xf numFmtId="6" fontId="3" fillId="0" borderId="2" xfId="0" applyNumberFormat="1" applyFont="1" applyBorder="1"/>
    <xf numFmtId="9" fontId="3" fillId="3" borderId="2" xfId="0" applyNumberFormat="1" applyFont="1" applyFill="1" applyBorder="1" applyProtection="1">
      <protection locked="0"/>
    </xf>
    <xf numFmtId="0" fontId="12" fillId="3" borderId="2" xfId="0" applyFont="1" applyFill="1" applyBorder="1" applyAlignment="1" applyProtection="1">
      <alignment horizontal="right"/>
      <protection locked="0"/>
    </xf>
    <xf numFmtId="6" fontId="26" fillId="0" borderId="0" xfId="0" applyNumberFormat="1" applyFont="1" applyAlignment="1">
      <alignment horizontal="center"/>
    </xf>
    <xf numFmtId="0" fontId="36" fillId="2" borderId="0" xfId="0" applyFont="1" applyFill="1" applyAlignment="1">
      <alignment horizontal="center"/>
    </xf>
    <xf numFmtId="0" fontId="26" fillId="0" borderId="0" xfId="0" applyFont="1"/>
    <xf numFmtId="165" fontId="12" fillId="7" borderId="0" xfId="0" applyNumberFormat="1" applyFont="1" applyFill="1" applyAlignment="1">
      <alignment horizontal="center"/>
    </xf>
    <xf numFmtId="6" fontId="12" fillId="3" borderId="2" xfId="0" applyNumberFormat="1" applyFont="1" applyFill="1" applyBorder="1" applyAlignment="1" applyProtection="1">
      <alignment horizontal="center"/>
      <protection locked="0"/>
    </xf>
    <xf numFmtId="6" fontId="16" fillId="0" borderId="3" xfId="0" applyNumberFormat="1" applyFont="1" applyBorder="1" applyAlignment="1">
      <alignment horizontal="center"/>
    </xf>
    <xf numFmtId="165" fontId="12" fillId="9" borderId="4" xfId="0" applyNumberFormat="1" applyFont="1" applyFill="1" applyBorder="1" applyAlignment="1" applyProtection="1">
      <alignment horizontal="center"/>
      <protection locked="0"/>
    </xf>
    <xf numFmtId="6" fontId="16" fillId="0" borderId="0" xfId="0" applyNumberFormat="1" applyFont="1" applyAlignment="1">
      <alignment horizontal="center"/>
    </xf>
    <xf numFmtId="165" fontId="2" fillId="0" borderId="0" xfId="0" applyNumberFormat="1" applyFont="1"/>
    <xf numFmtId="0" fontId="12" fillId="7" borderId="1" xfId="0" applyFont="1" applyFill="1" applyBorder="1"/>
    <xf numFmtId="0" fontId="30" fillId="7" borderId="0" xfId="0" applyFont="1" applyFill="1"/>
    <xf numFmtId="0" fontId="86" fillId="8" borderId="2" xfId="0" applyFont="1" applyFill="1" applyBorder="1" applyAlignment="1">
      <alignment horizontal="center"/>
    </xf>
    <xf numFmtId="169" fontId="12" fillId="7" borderId="2" xfId="0" applyNumberFormat="1" applyFont="1" applyFill="1" applyBorder="1" applyAlignment="1">
      <alignment horizontal="center"/>
    </xf>
    <xf numFmtId="6" fontId="0" fillId="0" borderId="1" xfId="0" applyNumberFormat="1" applyBorder="1"/>
    <xf numFmtId="6" fontId="0" fillId="7" borderId="2" xfId="0" applyNumberFormat="1" applyFill="1" applyBorder="1"/>
    <xf numFmtId="6" fontId="27" fillId="7" borderId="0" xfId="0" applyNumberFormat="1" applyFont="1" applyFill="1" applyAlignment="1">
      <alignment horizontal="center" vertical="center"/>
    </xf>
    <xf numFmtId="37" fontId="47" fillId="0" borderId="0" xfId="0" applyNumberFormat="1" applyFont="1"/>
    <xf numFmtId="0" fontId="12" fillId="8" borderId="8" xfId="0" applyFont="1" applyFill="1" applyBorder="1" applyAlignment="1">
      <alignment horizontal="right"/>
    </xf>
    <xf numFmtId="6" fontId="49" fillId="0" borderId="16" xfId="0" applyNumberFormat="1" applyFont="1" applyBorder="1" applyAlignment="1">
      <alignment vertical="center" wrapText="1"/>
    </xf>
    <xf numFmtId="0" fontId="51" fillId="10" borderId="1" xfId="0" applyFont="1" applyFill="1" applyBorder="1"/>
    <xf numFmtId="6" fontId="12" fillId="10" borderId="1" xfId="0" applyNumberFormat="1" applyFont="1" applyFill="1" applyBorder="1"/>
    <xf numFmtId="0" fontId="12" fillId="10" borderId="1" xfId="0" applyFont="1" applyFill="1" applyBorder="1" applyAlignment="1">
      <alignment horizontal="right"/>
    </xf>
    <xf numFmtId="0" fontId="12" fillId="10" borderId="0" xfId="0" applyFont="1" applyFill="1" applyAlignment="1">
      <alignment horizontal="right"/>
    </xf>
    <xf numFmtId="0" fontId="51" fillId="10" borderId="0" xfId="0" applyFont="1" applyFill="1"/>
    <xf numFmtId="6" fontId="0" fillId="10" borderId="1" xfId="0" applyNumberFormat="1" applyFill="1" applyBorder="1"/>
    <xf numFmtId="0" fontId="0" fillId="10" borderId="1" xfId="0" applyFill="1" applyBorder="1" applyAlignment="1">
      <alignment horizontal="right"/>
    </xf>
    <xf numFmtId="0" fontId="51" fillId="10" borderId="5" xfId="0" applyFont="1" applyFill="1" applyBorder="1"/>
    <xf numFmtId="0" fontId="107" fillId="7" borderId="0" xfId="0" applyFont="1" applyFill="1"/>
    <xf numFmtId="0" fontId="4" fillId="0" borderId="1" xfId="0" applyFont="1" applyBorder="1"/>
    <xf numFmtId="167" fontId="26" fillId="0" borderId="0" xfId="0" applyNumberFormat="1" applyFont="1" applyAlignment="1">
      <alignment horizontal="center" vertical="center" wrapText="1"/>
    </xf>
    <xf numFmtId="8" fontId="49" fillId="9" borderId="16" xfId="0" applyNumberFormat="1" applyFont="1" applyFill="1" applyBorder="1" applyAlignment="1" applyProtection="1">
      <alignment horizontal="left" vertical="center" wrapText="1"/>
      <protection locked="0"/>
    </xf>
    <xf numFmtId="0" fontId="3" fillId="0" borderId="0" xfId="0" applyFont="1" applyAlignment="1">
      <alignment horizontal="left"/>
    </xf>
    <xf numFmtId="0" fontId="32" fillId="0" borderId="0" xfId="0" applyFont="1" applyAlignment="1">
      <alignment horizontal="center"/>
    </xf>
    <xf numFmtId="0" fontId="52" fillId="0" borderId="0" xfId="0" applyFont="1"/>
    <xf numFmtId="0" fontId="16" fillId="0" borderId="0" xfId="0" applyFont="1" applyAlignment="1">
      <alignment horizontal="right"/>
    </xf>
    <xf numFmtId="0" fontId="35" fillId="0" borderId="0" xfId="0" applyFont="1" applyAlignment="1">
      <alignment horizontal="left" indent="3"/>
    </xf>
    <xf numFmtId="165" fontId="87" fillId="9" borderId="9" xfId="0" applyNumberFormat="1" applyFont="1" applyFill="1" applyBorder="1" applyAlignment="1" applyProtection="1">
      <alignment horizontal="right"/>
      <protection locked="0"/>
    </xf>
    <xf numFmtId="0" fontId="57" fillId="7" borderId="0" xfId="0" applyFont="1" applyFill="1"/>
    <xf numFmtId="0" fontId="42" fillId="2" borderId="0" xfId="0" applyFont="1" applyFill="1" applyAlignment="1">
      <alignment horizontal="right"/>
    </xf>
    <xf numFmtId="0" fontId="2" fillId="2" borderId="0" xfId="0" applyFont="1" applyFill="1"/>
    <xf numFmtId="0" fontId="33" fillId="7" borderId="0" xfId="0" applyFont="1" applyFill="1"/>
    <xf numFmtId="0" fontId="109" fillId="7" borderId="0" xfId="0" applyFont="1" applyFill="1"/>
    <xf numFmtId="0" fontId="110" fillId="2" borderId="0" xfId="0" applyFont="1" applyFill="1"/>
    <xf numFmtId="0" fontId="29" fillId="7" borderId="0" xfId="0" applyFont="1" applyFill="1" applyAlignment="1">
      <alignment horizontal="center"/>
    </xf>
    <xf numFmtId="0" fontId="111" fillId="0" borderId="0" xfId="0" applyFont="1"/>
    <xf numFmtId="0" fontId="112" fillId="7" borderId="0" xfId="0" applyFont="1" applyFill="1"/>
    <xf numFmtId="0" fontId="113" fillId="7" borderId="0" xfId="0" applyFont="1" applyFill="1" applyAlignment="1">
      <alignment horizontal="left"/>
    </xf>
    <xf numFmtId="0" fontId="113" fillId="7" borderId="0" xfId="0" applyFont="1" applyFill="1"/>
    <xf numFmtId="0" fontId="113" fillId="0" borderId="0" xfId="0" applyFont="1"/>
    <xf numFmtId="0" fontId="114" fillId="7" borderId="0" xfId="0" applyFont="1" applyFill="1" applyAlignment="1">
      <alignment horizontal="center"/>
    </xf>
    <xf numFmtId="0" fontId="113" fillId="7" borderId="0" xfId="0" applyFont="1" applyFill="1" applyAlignment="1">
      <alignment horizontal="center"/>
    </xf>
    <xf numFmtId="0" fontId="113" fillId="7" borderId="3" xfId="0" applyFont="1" applyFill="1" applyBorder="1" applyAlignment="1">
      <alignment horizontal="left" indent="1"/>
    </xf>
    <xf numFmtId="165" fontId="113" fillId="7" borderId="3" xfId="0" applyNumberFormat="1" applyFont="1" applyFill="1" applyBorder="1" applyAlignment="1">
      <alignment horizontal="center"/>
    </xf>
    <xf numFmtId="0" fontId="113" fillId="7" borderId="1" xfId="0" applyFont="1" applyFill="1" applyBorder="1" applyAlignment="1">
      <alignment horizontal="left" indent="1"/>
    </xf>
    <xf numFmtId="165" fontId="113" fillId="7" borderId="1" xfId="0" applyNumberFormat="1" applyFont="1" applyFill="1" applyBorder="1" applyAlignment="1">
      <alignment horizontal="center"/>
    </xf>
    <xf numFmtId="0" fontId="115" fillId="7" borderId="3" xfId="0" applyFont="1" applyFill="1" applyBorder="1" applyAlignment="1">
      <alignment horizontal="right" indent="1"/>
    </xf>
    <xf numFmtId="0" fontId="115" fillId="7" borderId="0" xfId="0" applyFont="1" applyFill="1" applyAlignment="1">
      <alignment horizontal="right" indent="1"/>
    </xf>
    <xf numFmtId="165" fontId="115" fillId="7" borderId="0" xfId="0" applyNumberFormat="1" applyFont="1" applyFill="1" applyAlignment="1">
      <alignment horizontal="center"/>
    </xf>
    <xf numFmtId="0" fontId="115" fillId="7" borderId="0" xfId="0" applyFont="1" applyFill="1" applyAlignment="1">
      <alignment horizontal="left"/>
    </xf>
    <xf numFmtId="0" fontId="113" fillId="7" borderId="0" xfId="0" applyFont="1" applyFill="1" applyAlignment="1">
      <alignment horizontal="left" indent="1"/>
    </xf>
    <xf numFmtId="164" fontId="113" fillId="7" borderId="0" xfId="7" applyNumberFormat="1" applyFont="1" applyFill="1" applyBorder="1" applyAlignment="1" applyProtection="1">
      <alignment horizontal="center"/>
    </xf>
    <xf numFmtId="164" fontId="113" fillId="7" borderId="1" xfId="7" applyNumberFormat="1" applyFont="1" applyFill="1" applyBorder="1" applyAlignment="1" applyProtection="1">
      <alignment horizontal="center"/>
    </xf>
    <xf numFmtId="0" fontId="113" fillId="7" borderId="1" xfId="0" applyFont="1" applyFill="1" applyBorder="1" applyAlignment="1">
      <alignment horizontal="center"/>
    </xf>
    <xf numFmtId="0" fontId="113" fillId="7" borderId="1" xfId="0" applyFont="1" applyFill="1" applyBorder="1" applyAlignment="1">
      <alignment vertical="center" wrapText="1"/>
    </xf>
    <xf numFmtId="0" fontId="111" fillId="0" borderId="0" xfId="0" applyFont="1" applyAlignment="1">
      <alignment horizontal="left"/>
    </xf>
    <xf numFmtId="0" fontId="113" fillId="0" borderId="0" xfId="0" applyFont="1" applyAlignment="1">
      <alignment horizontal="center"/>
    </xf>
    <xf numFmtId="0" fontId="113" fillId="0" borderId="3" xfId="0" applyFont="1" applyBorder="1" applyAlignment="1">
      <alignment horizontal="center"/>
    </xf>
    <xf numFmtId="37" fontId="113" fillId="0" borderId="3" xfId="0" applyNumberFormat="1" applyFont="1" applyBorder="1" applyAlignment="1">
      <alignment horizontal="center"/>
    </xf>
    <xf numFmtId="6" fontId="113" fillId="0" borderId="3" xfId="0" applyNumberFormat="1" applyFont="1" applyBorder="1" applyAlignment="1">
      <alignment horizontal="center"/>
    </xf>
    <xf numFmtId="37" fontId="113" fillId="0" borderId="0" xfId="0" applyNumberFormat="1" applyFont="1" applyAlignment="1">
      <alignment horizontal="center"/>
    </xf>
    <xf numFmtId="6" fontId="113" fillId="0" borderId="0" xfId="0" applyNumberFormat="1" applyFont="1" applyAlignment="1">
      <alignment horizontal="center"/>
    </xf>
    <xf numFmtId="0" fontId="113" fillId="0" borderId="1" xfId="0" applyFont="1" applyBorder="1" applyAlignment="1">
      <alignment horizontal="center"/>
    </xf>
    <xf numFmtId="37" fontId="113" fillId="0" borderId="1" xfId="0" applyNumberFormat="1" applyFont="1" applyBorder="1" applyAlignment="1">
      <alignment horizontal="center"/>
    </xf>
    <xf numFmtId="6" fontId="113" fillId="0" borderId="1" xfId="0" applyNumberFormat="1" applyFont="1" applyBorder="1" applyAlignment="1">
      <alignment horizontal="center"/>
    </xf>
    <xf numFmtId="0" fontId="115" fillId="0" borderId="0" xfId="0" applyFont="1" applyAlignment="1">
      <alignment horizontal="right"/>
    </xf>
    <xf numFmtId="6" fontId="115" fillId="0" borderId="0" xfId="0" applyNumberFormat="1" applyFont="1" applyAlignment="1">
      <alignment horizontal="center"/>
    </xf>
    <xf numFmtId="0" fontId="115" fillId="0" borderId="0" xfId="0" applyFont="1" applyAlignment="1">
      <alignment horizontal="right" wrapText="1"/>
    </xf>
    <xf numFmtId="0" fontId="115" fillId="0" borderId="0" xfId="0" applyFont="1" applyAlignment="1">
      <alignment horizontal="center" wrapText="1"/>
    </xf>
    <xf numFmtId="3" fontId="113" fillId="7" borderId="3" xfId="0" applyNumberFormat="1" applyFont="1" applyFill="1" applyBorder="1" applyAlignment="1">
      <alignment horizontal="center"/>
    </xf>
    <xf numFmtId="0" fontId="115" fillId="0" borderId="0" xfId="0" applyFont="1" applyAlignment="1">
      <alignment horizontal="left" wrapText="1" indent="4"/>
    </xf>
    <xf numFmtId="0" fontId="116" fillId="7" borderId="0" xfId="0" applyFont="1" applyFill="1"/>
    <xf numFmtId="164" fontId="1" fillId="7" borderId="0" xfId="0" applyNumberFormat="1" applyFont="1" applyFill="1" applyAlignment="1">
      <alignment horizontal="center"/>
    </xf>
    <xf numFmtId="6" fontId="3" fillId="0" borderId="0" xfId="0" applyNumberFormat="1" applyFont="1"/>
    <xf numFmtId="170" fontId="26" fillId="7" borderId="0" xfId="0" applyNumberFormat="1" applyFont="1" applyFill="1" applyAlignment="1" applyProtection="1">
      <alignment horizontal="center"/>
      <protection hidden="1"/>
    </xf>
    <xf numFmtId="0" fontId="83" fillId="7" borderId="0" xfId="0" applyFont="1" applyFill="1"/>
    <xf numFmtId="6" fontId="83" fillId="7" borderId="0" xfId="0" applyNumberFormat="1" applyFont="1" applyFill="1"/>
    <xf numFmtId="0" fontId="86" fillId="7" borderId="0" xfId="0" applyFont="1" applyFill="1" applyAlignment="1">
      <alignment horizontal="right"/>
    </xf>
    <xf numFmtId="0" fontId="2" fillId="7" borderId="1" xfId="0" applyFont="1" applyFill="1" applyBorder="1" applyAlignment="1">
      <alignment horizontal="center" wrapText="1"/>
    </xf>
    <xf numFmtId="0" fontId="16" fillId="2" borderId="0" xfId="0" applyFont="1" applyFill="1"/>
    <xf numFmtId="0" fontId="0" fillId="2" borderId="0" xfId="0" applyFill="1" applyAlignment="1">
      <alignment horizontal="center"/>
    </xf>
    <xf numFmtId="0" fontId="58" fillId="2" borderId="0" xfId="0" applyFont="1" applyFill="1" applyAlignment="1">
      <alignment horizontal="center"/>
    </xf>
    <xf numFmtId="0" fontId="2" fillId="2" borderId="0" xfId="0" applyFont="1" applyFill="1" applyAlignment="1">
      <alignment vertical="center"/>
    </xf>
    <xf numFmtId="0" fontId="33" fillId="2" borderId="2" xfId="0" applyFont="1" applyFill="1" applyBorder="1" applyAlignment="1">
      <alignment horizontal="center"/>
    </xf>
    <xf numFmtId="0" fontId="23" fillId="2" borderId="0" xfId="0" applyFont="1" applyFill="1"/>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56" fillId="2" borderId="0" xfId="0" applyFont="1" applyFill="1"/>
    <xf numFmtId="165" fontId="54" fillId="2" borderId="0" xfId="2" applyNumberFormat="1" applyFont="1" applyFill="1" applyBorder="1" applyAlignment="1" applyProtection="1">
      <alignment horizontal="center"/>
    </xf>
    <xf numFmtId="44" fontId="2" fillId="2" borderId="0" xfId="2" applyFont="1" applyFill="1" applyBorder="1" applyProtection="1"/>
    <xf numFmtId="14" fontId="30" fillId="7" borderId="0" xfId="0" applyNumberFormat="1" applyFont="1" applyFill="1"/>
    <xf numFmtId="14" fontId="30" fillId="7" borderId="1" xfId="0" applyNumberFormat="1" applyFont="1" applyFill="1" applyBorder="1"/>
    <xf numFmtId="0" fontId="118" fillId="0" borderId="0" xfId="0" applyFont="1"/>
    <xf numFmtId="0" fontId="119" fillId="0" borderId="0" xfId="0" applyFont="1"/>
    <xf numFmtId="0" fontId="110" fillId="0" borderId="0" xfId="0" applyFont="1"/>
    <xf numFmtId="0" fontId="117" fillId="0" borderId="0" xfId="0" applyFont="1"/>
    <xf numFmtId="0" fontId="118" fillId="7" borderId="0" xfId="0" applyFont="1" applyFill="1"/>
    <xf numFmtId="0" fontId="120" fillId="7" borderId="0" xfId="0" applyFont="1" applyFill="1"/>
    <xf numFmtId="0" fontId="110" fillId="7" borderId="0" xfId="0" applyFont="1" applyFill="1"/>
    <xf numFmtId="0" fontId="119" fillId="7" borderId="0" xfId="0" applyFont="1" applyFill="1"/>
    <xf numFmtId="0" fontId="121" fillId="7" borderId="0" xfId="0" applyFont="1" applyFill="1"/>
    <xf numFmtId="0" fontId="121" fillId="7" borderId="0" xfId="0" applyFont="1" applyFill="1" applyAlignment="1">
      <alignment horizontal="center"/>
    </xf>
    <xf numFmtId="0" fontId="0" fillId="7" borderId="0" xfId="0" applyFill="1" applyAlignment="1">
      <alignment horizontal="center"/>
    </xf>
    <xf numFmtId="0" fontId="58" fillId="7" borderId="0" xfId="0" applyFont="1" applyFill="1" applyAlignment="1">
      <alignment horizontal="center"/>
    </xf>
    <xf numFmtId="0" fontId="0" fillId="2" borderId="0" xfId="0" applyFill="1" applyAlignment="1">
      <alignment horizontal="left" indent="1"/>
    </xf>
    <xf numFmtId="0" fontId="84" fillId="7" borderId="0" xfId="0" applyFont="1" applyFill="1"/>
    <xf numFmtId="0" fontId="122" fillId="7" borderId="0" xfId="0" applyFont="1" applyFill="1"/>
    <xf numFmtId="0" fontId="123" fillId="7" borderId="0" xfId="0" applyFont="1" applyFill="1"/>
    <xf numFmtId="0" fontId="42" fillId="7" borderId="0" xfId="0" applyFont="1" applyFill="1" applyAlignment="1">
      <alignment horizontal="center"/>
    </xf>
    <xf numFmtId="0" fontId="113" fillId="7" borderId="0" xfId="0" applyFont="1" applyFill="1" applyAlignment="1">
      <alignment horizontal="center" wrapText="1"/>
    </xf>
    <xf numFmtId="0" fontId="109" fillId="7" borderId="1" xfId="0" applyFont="1" applyFill="1" applyBorder="1" applyAlignment="1">
      <alignment horizontal="center" wrapText="1"/>
    </xf>
    <xf numFmtId="6" fontId="12" fillId="7" borderId="0" xfId="0" applyNumberFormat="1" applyFont="1" applyFill="1" applyAlignment="1">
      <alignment horizontal="center"/>
    </xf>
    <xf numFmtId="0" fontId="124" fillId="7" borderId="0" xfId="0" applyFont="1" applyFill="1" applyAlignment="1">
      <alignment horizontal="center"/>
    </xf>
    <xf numFmtId="165" fontId="121" fillId="7" borderId="0" xfId="0" applyNumberFormat="1" applyFont="1" applyFill="1" applyAlignment="1">
      <alignment horizontal="center"/>
    </xf>
    <xf numFmtId="6" fontId="12" fillId="7" borderId="1" xfId="0" applyNumberFormat="1" applyFont="1" applyFill="1" applyBorder="1" applyAlignment="1">
      <alignment horizontal="center"/>
    </xf>
    <xf numFmtId="165" fontId="121" fillId="7" borderId="1" xfId="0" applyNumberFormat="1" applyFont="1" applyFill="1" applyBorder="1" applyAlignment="1">
      <alignment horizontal="center"/>
    </xf>
    <xf numFmtId="6" fontId="12" fillId="7" borderId="3" xfId="0" applyNumberFormat="1" applyFont="1" applyFill="1" applyBorder="1"/>
    <xf numFmtId="6" fontId="12" fillId="7" borderId="3" xfId="0" applyNumberFormat="1" applyFont="1" applyFill="1" applyBorder="1" applyAlignment="1">
      <alignment horizontal="center"/>
    </xf>
    <xf numFmtId="6" fontId="124" fillId="7" borderId="0" xfId="0" applyNumberFormat="1" applyFont="1" applyFill="1"/>
    <xf numFmtId="6" fontId="16" fillId="7" borderId="0" xfId="0" applyNumberFormat="1" applyFont="1" applyFill="1"/>
    <xf numFmtId="0" fontId="124" fillId="7" borderId="0" xfId="0" applyFont="1" applyFill="1"/>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2" xfId="0" applyFont="1" applyFill="1" applyBorder="1" applyAlignment="1">
      <alignment horizontal="center" wrapText="1"/>
    </xf>
    <xf numFmtId="0" fontId="3" fillId="2" borderId="0" xfId="0" applyFont="1" applyFill="1" applyAlignment="1">
      <alignment horizontal="center"/>
    </xf>
    <xf numFmtId="0" fontId="33" fillId="2" borderId="15" xfId="0" applyFont="1" applyFill="1" applyBorder="1" applyAlignment="1">
      <alignment vertical="center"/>
    </xf>
    <xf numFmtId="0" fontId="33" fillId="2" borderId="3" xfId="0" applyFont="1" applyFill="1" applyBorder="1" applyAlignment="1">
      <alignment vertical="center"/>
    </xf>
    <xf numFmtId="0" fontId="2" fillId="2" borderId="7" xfId="0" applyFont="1" applyFill="1" applyBorder="1" applyAlignment="1">
      <alignment vertical="center"/>
    </xf>
    <xf numFmtId="0" fontId="33" fillId="2" borderId="1" xfId="0" applyFont="1" applyFill="1" applyBorder="1" applyAlignment="1">
      <alignment vertical="center"/>
    </xf>
    <xf numFmtId="0" fontId="33" fillId="2" borderId="2" xfId="0" applyFont="1" applyFill="1" applyBorder="1" applyAlignment="1">
      <alignment horizontal="center" vertical="center"/>
    </xf>
    <xf numFmtId="0" fontId="2" fillId="2" borderId="15" xfId="0" applyFont="1" applyFill="1" applyBorder="1" applyAlignment="1">
      <alignment vertical="center"/>
    </xf>
    <xf numFmtId="0" fontId="55" fillId="2" borderId="3" xfId="0" applyFont="1" applyFill="1" applyBorder="1" applyAlignment="1">
      <alignment vertical="center"/>
    </xf>
    <xf numFmtId="0" fontId="33" fillId="2" borderId="17" xfId="0" applyFont="1" applyFill="1" applyBorder="1" applyAlignment="1">
      <alignment vertical="center"/>
    </xf>
    <xf numFmtId="0" fontId="55" fillId="2" borderId="0" xfId="0" applyFont="1" applyFill="1" applyAlignment="1">
      <alignment vertical="center"/>
    </xf>
    <xf numFmtId="0" fontId="33" fillId="2" borderId="7" xfId="0" applyFont="1" applyFill="1" applyBorder="1" applyAlignment="1">
      <alignment vertical="center"/>
    </xf>
    <xf numFmtId="0" fontId="55" fillId="2" borderId="1" xfId="0" applyFont="1" applyFill="1" applyBorder="1" applyAlignment="1">
      <alignment vertical="center"/>
    </xf>
    <xf numFmtId="0" fontId="55" fillId="2" borderId="17" xfId="0" applyFont="1" applyFill="1" applyBorder="1" applyAlignment="1">
      <alignment vertical="center"/>
    </xf>
    <xf numFmtId="0" fontId="2" fillId="2" borderId="4" xfId="0" applyFont="1" applyFill="1" applyBorder="1" applyAlignment="1">
      <alignment vertical="center"/>
    </xf>
    <xf numFmtId="0" fontId="55" fillId="2" borderId="5" xfId="0" applyFont="1" applyFill="1" applyBorder="1" applyAlignment="1">
      <alignment vertical="center"/>
    </xf>
    <xf numFmtId="0" fontId="29" fillId="2" borderId="3" xfId="0" applyFont="1" applyFill="1" applyBorder="1" applyAlignment="1">
      <alignment vertical="center"/>
    </xf>
    <xf numFmtId="0" fontId="2" fillId="2" borderId="17" xfId="0" applyFont="1" applyFill="1" applyBorder="1" applyAlignment="1">
      <alignment vertical="center"/>
    </xf>
    <xf numFmtId="0" fontId="29" fillId="2" borderId="1" xfId="0" applyFont="1" applyFill="1" applyBorder="1" applyAlignment="1">
      <alignment vertical="center"/>
    </xf>
    <xf numFmtId="0" fontId="33" fillId="2" borderId="5" xfId="0" applyFont="1" applyFill="1" applyBorder="1" applyAlignment="1">
      <alignment vertical="center"/>
    </xf>
    <xf numFmtId="3" fontId="33" fillId="7" borderId="0" xfId="0" applyNumberFormat="1" applyFont="1" applyFill="1" applyAlignment="1">
      <alignment horizontal="center" vertical="center"/>
    </xf>
    <xf numFmtId="0" fontId="26" fillId="2" borderId="0" xfId="0" applyFont="1" applyFill="1" applyAlignment="1">
      <alignment vertical="center"/>
    </xf>
    <xf numFmtId="0" fontId="30" fillId="2" borderId="0" xfId="0" applyFont="1" applyFill="1" applyAlignment="1">
      <alignment vertical="center" wrapText="1"/>
    </xf>
    <xf numFmtId="165" fontId="121" fillId="7" borderId="3" xfId="0" applyNumberFormat="1" applyFont="1" applyFill="1" applyBorder="1" applyAlignment="1">
      <alignment horizontal="center"/>
    </xf>
    <xf numFmtId="0" fontId="109" fillId="7" borderId="0" xfId="0" applyFont="1" applyFill="1" applyAlignment="1">
      <alignment horizontal="center" wrapText="1"/>
    </xf>
    <xf numFmtId="0" fontId="118" fillId="2" borderId="0" xfId="0" applyFont="1" applyFill="1"/>
    <xf numFmtId="171" fontId="28" fillId="0" borderId="1" xfId="1" applyNumberFormat="1" applyFont="1" applyBorder="1" applyAlignment="1"/>
    <xf numFmtId="0" fontId="126" fillId="2" borderId="0" xfId="0" applyFont="1" applyFill="1"/>
    <xf numFmtId="0" fontId="119" fillId="2" borderId="0" xfId="0" applyFont="1" applyFill="1"/>
    <xf numFmtId="0" fontId="23" fillId="7" borderId="0" xfId="0" applyFont="1" applyFill="1"/>
    <xf numFmtId="0" fontId="12" fillId="7" borderId="0" xfId="0" applyFont="1" applyFill="1" applyAlignment="1">
      <alignment vertical="center" wrapText="1"/>
    </xf>
    <xf numFmtId="0" fontId="127" fillId="7" borderId="0" xfId="0" applyFont="1" applyFill="1"/>
    <xf numFmtId="0" fontId="127" fillId="7" borderId="0" xfId="0" applyFont="1" applyFill="1" applyAlignment="1">
      <alignment horizontal="right" indent="1"/>
    </xf>
    <xf numFmtId="0" fontId="128" fillId="7" borderId="0" xfId="0" applyFont="1" applyFill="1" applyAlignment="1">
      <alignment horizontal="center"/>
    </xf>
    <xf numFmtId="0" fontId="129" fillId="7" borderId="0" xfId="4" applyFont="1" applyFill="1" applyAlignment="1">
      <alignment horizontal="left"/>
    </xf>
    <xf numFmtId="6" fontId="12" fillId="7" borderId="2" xfId="0" applyNumberFormat="1" applyFont="1" applyFill="1" applyBorder="1" applyAlignment="1">
      <alignment horizontal="center"/>
    </xf>
    <xf numFmtId="5" fontId="16" fillId="0" borderId="0" xfId="0" applyNumberFormat="1" applyFont="1" applyAlignment="1">
      <alignment horizontal="center" vertical="center"/>
    </xf>
    <xf numFmtId="0" fontId="130" fillId="7" borderId="0" xfId="0" applyFont="1" applyFill="1"/>
    <xf numFmtId="6" fontId="130" fillId="7" borderId="0" xfId="0" applyNumberFormat="1" applyFont="1" applyFill="1" applyAlignment="1">
      <alignment horizontal="center"/>
    </xf>
    <xf numFmtId="6" fontId="2" fillId="7" borderId="3" xfId="0" applyNumberFormat="1" applyFont="1" applyFill="1" applyBorder="1" applyAlignment="1">
      <alignment horizontal="center"/>
    </xf>
    <xf numFmtId="0" fontId="9" fillId="7" borderId="0" xfId="0" applyFont="1" applyFill="1" applyAlignment="1">
      <alignment horizontal="left"/>
    </xf>
    <xf numFmtId="0" fontId="131" fillId="0" borderId="0" xfId="0" applyFont="1" applyAlignment="1">
      <alignment horizontal="center"/>
    </xf>
    <xf numFmtId="0" fontId="132" fillId="0" borderId="0" xfId="0" applyFont="1"/>
    <xf numFmtId="0" fontId="82" fillId="0" borderId="0" xfId="0" applyFont="1" applyAlignment="1">
      <alignment horizontal="left" shrinkToFit="1"/>
    </xf>
    <xf numFmtId="0" fontId="79" fillId="2" borderId="0" xfId="0" applyFont="1" applyFill="1"/>
    <xf numFmtId="0" fontId="84" fillId="2" borderId="0" xfId="0" applyFont="1" applyFill="1"/>
    <xf numFmtId="0" fontId="80" fillId="0" borderId="6" xfId="0" applyFont="1" applyBorder="1" applyAlignment="1">
      <alignment horizontal="left" shrinkToFit="1"/>
    </xf>
    <xf numFmtId="0" fontId="84" fillId="0" borderId="0" xfId="0" applyFont="1" applyAlignment="1">
      <alignment horizontal="center"/>
    </xf>
    <xf numFmtId="0" fontId="80" fillId="2" borderId="0" xfId="0" applyFont="1" applyFill="1" applyAlignment="1">
      <alignment horizontal="left"/>
    </xf>
    <xf numFmtId="0" fontId="133" fillId="0" borderId="0" xfId="0" applyFont="1"/>
    <xf numFmtId="0" fontId="134" fillId="0" borderId="0" xfId="0" applyFont="1" applyAlignment="1">
      <alignment horizontal="center" vertical="center" wrapText="1"/>
    </xf>
    <xf numFmtId="0" fontId="135" fillId="0" borderId="0" xfId="0" applyFont="1" applyAlignment="1">
      <alignment horizontal="right"/>
    </xf>
    <xf numFmtId="0" fontId="82" fillId="0" borderId="5" xfId="0" applyFont="1" applyBorder="1" applyAlignment="1">
      <alignment horizontal="left" indent="2"/>
    </xf>
    <xf numFmtId="0" fontId="82" fillId="0" borderId="0" xfId="0" applyFont="1" applyAlignment="1">
      <alignment horizontal="left" indent="2"/>
    </xf>
    <xf numFmtId="0" fontId="82" fillId="0" borderId="1" xfId="0" applyFont="1" applyBorder="1" applyAlignment="1">
      <alignment horizontal="left" indent="2"/>
    </xf>
    <xf numFmtId="0" fontId="133" fillId="0" borderId="1" xfId="0" applyFont="1" applyBorder="1"/>
    <xf numFmtId="0" fontId="84" fillId="0" borderId="3" xfId="0" applyFont="1" applyBorder="1"/>
    <xf numFmtId="0" fontId="136" fillId="0" borderId="1" xfId="0" applyFont="1" applyBorder="1"/>
    <xf numFmtId="0" fontId="2" fillId="7" borderId="3" xfId="0" applyFont="1" applyFill="1" applyBorder="1" applyAlignment="1">
      <alignment horizontal="center" vertical="center"/>
    </xf>
    <xf numFmtId="0" fontId="2" fillId="7" borderId="0" xfId="0" applyFont="1" applyFill="1" applyAlignment="1">
      <alignment horizontal="center" vertical="center"/>
    </xf>
    <xf numFmtId="0" fontId="2" fillId="7" borderId="1" xfId="0" applyFont="1" applyFill="1" applyBorder="1" applyAlignment="1">
      <alignment horizontal="center" vertical="center"/>
    </xf>
    <xf numFmtId="0" fontId="12" fillId="9" borderId="2" xfId="0" applyFont="1" applyFill="1" applyBorder="1" applyAlignment="1" applyProtection="1">
      <alignment vertical="center" wrapText="1" readingOrder="1"/>
      <protection locked="0"/>
    </xf>
    <xf numFmtId="172" fontId="2" fillId="7" borderId="0" xfId="6" applyFont="1" applyFill="1"/>
    <xf numFmtId="171" fontId="2" fillId="2" borderId="0" xfId="1" applyNumberFormat="1" applyFont="1" applyFill="1" applyProtection="1"/>
    <xf numFmtId="172" fontId="2" fillId="2" borderId="0" xfId="6" applyFont="1" applyFill="1" applyAlignment="1">
      <alignment horizontal="left"/>
    </xf>
    <xf numFmtId="3" fontId="2" fillId="2" borderId="0" xfId="6" applyNumberFormat="1" applyFont="1" applyFill="1" applyAlignment="1">
      <alignment horizontal="left"/>
    </xf>
    <xf numFmtId="171" fontId="2" fillId="2" borderId="0" xfId="1" applyNumberFormat="1" applyFont="1" applyFill="1" applyAlignment="1" applyProtection="1">
      <alignment horizontal="left"/>
    </xf>
    <xf numFmtId="14" fontId="2" fillId="2" borderId="0" xfId="6" applyNumberFormat="1" applyFont="1" applyFill="1" applyAlignment="1">
      <alignment horizontal="left"/>
    </xf>
    <xf numFmtId="172" fontId="26" fillId="2" borderId="0" xfId="5" applyFont="1" applyFill="1"/>
    <xf numFmtId="172" fontId="26" fillId="2" borderId="0" xfId="6" applyFont="1" applyFill="1" applyAlignment="1">
      <alignment horizontal="center"/>
    </xf>
    <xf numFmtId="172" fontId="26" fillId="7" borderId="0" xfId="5" applyFont="1" applyFill="1"/>
    <xf numFmtId="172" fontId="26" fillId="2" borderId="1" xfId="5" applyFont="1" applyFill="1" applyBorder="1" applyAlignment="1">
      <alignment horizontal="center"/>
    </xf>
    <xf numFmtId="172" fontId="26" fillId="2" borderId="1" xfId="6" applyFont="1" applyFill="1" applyBorder="1" applyAlignment="1">
      <alignment horizontal="center"/>
    </xf>
    <xf numFmtId="5" fontId="26" fillId="7" borderId="0" xfId="5" applyNumberFormat="1" applyFont="1" applyFill="1" applyBorder="1" applyAlignment="1">
      <alignment horizontal="center"/>
    </xf>
    <xf numFmtId="172" fontId="2" fillId="2" borderId="0" xfId="5" applyFont="1" applyFill="1" applyBorder="1"/>
    <xf numFmtId="172" fontId="2" fillId="2" borderId="0" xfId="5" applyFont="1" applyFill="1" applyAlignment="1">
      <alignment horizontal="left"/>
    </xf>
    <xf numFmtId="165" fontId="2" fillId="7" borderId="0" xfId="2" applyNumberFormat="1" applyFont="1" applyFill="1" applyBorder="1" applyAlignment="1" applyProtection="1">
      <alignment horizontal="right" indent="2"/>
    </xf>
    <xf numFmtId="172" fontId="2" fillId="7" borderId="0" xfId="5" applyFont="1" applyFill="1"/>
    <xf numFmtId="172" fontId="2" fillId="0" borderId="0" xfId="5" applyFont="1"/>
    <xf numFmtId="172" fontId="54" fillId="7" borderId="0" xfId="5" applyFont="1" applyFill="1"/>
    <xf numFmtId="172" fontId="54" fillId="0" borderId="0" xfId="5" applyFont="1"/>
    <xf numFmtId="172" fontId="2" fillId="2" borderId="1" xfId="5" applyFont="1" applyFill="1" applyBorder="1" applyAlignment="1">
      <alignment horizontal="left"/>
    </xf>
    <xf numFmtId="172" fontId="65" fillId="2" borderId="0" xfId="5" applyFont="1" applyFill="1" applyBorder="1"/>
    <xf numFmtId="172" fontId="65" fillId="2" borderId="0" xfId="5" applyFont="1" applyFill="1" applyBorder="1" applyAlignment="1">
      <alignment horizontal="left"/>
    </xf>
    <xf numFmtId="165" fontId="65" fillId="2" borderId="0" xfId="2" applyNumberFormat="1" applyFont="1" applyFill="1" applyAlignment="1" applyProtection="1">
      <alignment horizontal="right" indent="2"/>
    </xf>
    <xf numFmtId="165" fontId="26" fillId="7" borderId="0" xfId="2" applyNumberFormat="1" applyFont="1" applyFill="1" applyBorder="1" applyAlignment="1" applyProtection="1">
      <alignment horizontal="right" indent="2"/>
    </xf>
    <xf numFmtId="171" fontId="62" fillId="7" borderId="0" xfId="1" applyNumberFormat="1" applyFont="1" applyFill="1" applyProtection="1"/>
    <xf numFmtId="172" fontId="62" fillId="7" borderId="0" xfId="5" applyFont="1" applyFill="1"/>
    <xf numFmtId="172" fontId="62" fillId="0" borderId="0" xfId="5" applyFont="1"/>
    <xf numFmtId="164" fontId="64" fillId="2" borderId="0" xfId="7" applyNumberFormat="1" applyFont="1" applyFill="1" applyAlignment="1" applyProtection="1">
      <alignment horizontal="right" indent="2"/>
    </xf>
    <xf numFmtId="171" fontId="41" fillId="2" borderId="0" xfId="1" applyNumberFormat="1" applyFont="1" applyFill="1" applyAlignment="1" applyProtection="1">
      <alignment horizontal="center"/>
    </xf>
    <xf numFmtId="172" fontId="2" fillId="2" borderId="0" xfId="6" applyFont="1" applyFill="1" applyBorder="1"/>
    <xf numFmtId="172" fontId="26" fillId="2" borderId="0" xfId="6" applyFont="1" applyFill="1" applyBorder="1"/>
    <xf numFmtId="171" fontId="2" fillId="2" borderId="0" xfId="1" applyNumberFormat="1" applyFont="1" applyFill="1" applyBorder="1" applyProtection="1"/>
    <xf numFmtId="172" fontId="2" fillId="7" borderId="0" xfId="6" applyFont="1" applyFill="1" applyBorder="1"/>
    <xf numFmtId="172" fontId="16" fillId="2" borderId="0" xfId="6" applyFont="1" applyFill="1" applyBorder="1" applyAlignment="1">
      <alignment horizontal="left"/>
    </xf>
    <xf numFmtId="171" fontId="12" fillId="2" borderId="0" xfId="1" applyNumberFormat="1" applyFont="1" applyFill="1" applyBorder="1" applyProtection="1"/>
    <xf numFmtId="172" fontId="12" fillId="2" borderId="0" xfId="6" applyFont="1" applyFill="1" applyBorder="1"/>
    <xf numFmtId="165" fontId="16" fillId="2" borderId="0" xfId="2" applyNumberFormat="1" applyFont="1" applyFill="1" applyAlignment="1" applyProtection="1">
      <alignment horizontal="right" indent="2"/>
    </xf>
    <xf numFmtId="172" fontId="16" fillId="2" borderId="0" xfId="6" applyFont="1" applyFill="1" applyBorder="1"/>
    <xf numFmtId="164" fontId="49" fillId="2" borderId="0" xfId="7" applyNumberFormat="1" applyFont="1" applyFill="1" applyAlignment="1" applyProtection="1">
      <alignment horizontal="right" indent="2"/>
    </xf>
    <xf numFmtId="10" fontId="2" fillId="2" borderId="0" xfId="6" applyNumberFormat="1" applyFont="1" applyFill="1" applyBorder="1"/>
    <xf numFmtId="171" fontId="2" fillId="7" borderId="0" xfId="1" applyNumberFormat="1" applyFont="1" applyFill="1" applyBorder="1" applyProtection="1"/>
    <xf numFmtId="171" fontId="2" fillId="7" borderId="0" xfId="1" applyNumberFormat="1" applyFont="1" applyFill="1" applyProtection="1"/>
    <xf numFmtId="0" fontId="96" fillId="0" borderId="0" xfId="0" applyFont="1" applyAlignment="1">
      <alignment horizontal="center" vertical="center" wrapText="1"/>
    </xf>
    <xf numFmtId="0" fontId="137" fillId="7" borderId="0" xfId="0" applyFont="1" applyFill="1" applyAlignment="1" applyProtection="1">
      <alignment vertical="center"/>
      <protection locked="0"/>
    </xf>
    <xf numFmtId="0" fontId="138" fillId="7" borderId="0" xfId="0" applyFont="1" applyFill="1" applyAlignment="1" applyProtection="1">
      <alignment horizontal="left"/>
      <protection locked="0"/>
    </xf>
    <xf numFmtId="0" fontId="139" fillId="7" borderId="0" xfId="0" applyFont="1" applyFill="1" applyAlignment="1">
      <alignment vertical="top" shrinkToFit="1"/>
    </xf>
    <xf numFmtId="0" fontId="33" fillId="7" borderId="0" xfId="0" applyFont="1" applyFill="1" applyAlignment="1">
      <alignment horizontal="center"/>
    </xf>
    <xf numFmtId="165" fontId="33" fillId="7" borderId="17" xfId="0" applyNumberFormat="1" applyFont="1" applyFill="1" applyBorder="1" applyAlignment="1">
      <alignment horizontal="center"/>
    </xf>
    <xf numFmtId="165" fontId="33" fillId="7" borderId="7" xfId="0" applyNumberFormat="1" applyFont="1" applyFill="1" applyBorder="1" applyAlignment="1">
      <alignment horizontal="center"/>
    </xf>
    <xf numFmtId="0" fontId="12" fillId="9" borderId="6" xfId="0" applyFont="1" applyFill="1" applyBorder="1" applyAlignment="1" applyProtection="1">
      <alignment wrapText="1"/>
      <protection locked="0"/>
    </xf>
    <xf numFmtId="0" fontId="30" fillId="7" borderId="3" xfId="0" applyFont="1" applyFill="1" applyBorder="1" applyAlignment="1">
      <alignment horizontal="center"/>
    </xf>
    <xf numFmtId="0" fontId="140" fillId="7" borderId="0" xfId="0" applyFont="1" applyFill="1"/>
    <xf numFmtId="8" fontId="140" fillId="7" borderId="0" xfId="0" applyNumberFormat="1" applyFont="1" applyFill="1" applyAlignment="1">
      <alignment horizontal="right" indent="2"/>
    </xf>
    <xf numFmtId="6" fontId="140" fillId="7" borderId="0" xfId="0" applyNumberFormat="1" applyFont="1" applyFill="1" applyAlignment="1">
      <alignment horizontal="center"/>
    </xf>
    <xf numFmtId="0" fontId="126" fillId="2" borderId="1" xfId="0" applyFont="1" applyFill="1" applyBorder="1"/>
    <xf numFmtId="5" fontId="2" fillId="7" borderId="3" xfId="0" applyNumberFormat="1" applyFont="1" applyFill="1" applyBorder="1" applyAlignment="1">
      <alignment horizontal="center" vertical="center"/>
    </xf>
    <xf numFmtId="5" fontId="2" fillId="7" borderId="0" xfId="0" applyNumberFormat="1" applyFont="1" applyFill="1" applyAlignment="1">
      <alignment horizontal="center" vertical="center"/>
    </xf>
    <xf numFmtId="5" fontId="2" fillId="7" borderId="1" xfId="0" applyNumberFormat="1" applyFont="1" applyFill="1" applyBorder="1" applyAlignment="1">
      <alignment horizontal="center" vertical="center"/>
    </xf>
    <xf numFmtId="0" fontId="30" fillId="7" borderId="1" xfId="0" applyFont="1" applyFill="1" applyBorder="1"/>
    <xf numFmtId="164" fontId="30" fillId="0" borderId="1" xfId="7" applyNumberFormat="1" applyFont="1" applyBorder="1" applyAlignment="1">
      <alignment horizontal="center" vertical="center"/>
    </xf>
    <xf numFmtId="6" fontId="26" fillId="7" borderId="0" xfId="0" applyNumberFormat="1" applyFont="1" applyFill="1" applyAlignment="1">
      <alignment horizontal="center"/>
    </xf>
    <xf numFmtId="0" fontId="142" fillId="7" borderId="0" xfId="0" applyFont="1" applyFill="1"/>
    <xf numFmtId="0" fontId="143" fillId="2" borderId="1" xfId="0" applyFont="1" applyFill="1" applyBorder="1"/>
    <xf numFmtId="0" fontId="128" fillId="7" borderId="28" xfId="0" applyFont="1" applyFill="1" applyBorder="1" applyAlignment="1" applyProtection="1">
      <alignment vertical="center"/>
      <protection locked="0"/>
    </xf>
    <xf numFmtId="0" fontId="128" fillId="7" borderId="0" xfId="0" applyFont="1" applyFill="1" applyAlignment="1" applyProtection="1">
      <alignment vertical="center"/>
      <protection locked="0"/>
    </xf>
    <xf numFmtId="6" fontId="144" fillId="2" borderId="29" xfId="0" applyNumberFormat="1" applyFont="1" applyFill="1" applyBorder="1" applyAlignment="1">
      <alignment horizontal="center"/>
    </xf>
    <xf numFmtId="6" fontId="144" fillId="2" borderId="10" xfId="0" applyNumberFormat="1" applyFont="1" applyFill="1" applyBorder="1" applyAlignment="1">
      <alignment horizontal="center"/>
    </xf>
    <xf numFmtId="6" fontId="144" fillId="2" borderId="16" xfId="0" applyNumberFormat="1" applyFont="1" applyFill="1" applyBorder="1" applyAlignment="1">
      <alignment horizontal="center"/>
    </xf>
    <xf numFmtId="6" fontId="144" fillId="2" borderId="30" xfId="0" applyNumberFormat="1" applyFont="1" applyFill="1" applyBorder="1" applyAlignment="1">
      <alignment horizontal="center"/>
    </xf>
    <xf numFmtId="6" fontId="144" fillId="2" borderId="9" xfId="0" applyNumberFormat="1" applyFont="1" applyFill="1" applyBorder="1" applyAlignment="1">
      <alignment horizontal="center"/>
    </xf>
    <xf numFmtId="0" fontId="110" fillId="2" borderId="31" xfId="0" applyFont="1" applyFill="1" applyBorder="1" applyAlignment="1">
      <alignment horizontal="center" wrapText="1"/>
    </xf>
    <xf numFmtId="0" fontId="110" fillId="2" borderId="2" xfId="0" applyFont="1" applyFill="1" applyBorder="1" applyAlignment="1">
      <alignment horizontal="center" wrapText="1"/>
    </xf>
    <xf numFmtId="0" fontId="110" fillId="2" borderId="6" xfId="0" applyFont="1" applyFill="1" applyBorder="1" applyAlignment="1">
      <alignment horizontal="center" wrapText="1"/>
    </xf>
    <xf numFmtId="0" fontId="145" fillId="0" borderId="0" xfId="0" applyFont="1"/>
    <xf numFmtId="0" fontId="146" fillId="7" borderId="0" xfId="0" applyFont="1" applyFill="1"/>
    <xf numFmtId="0" fontId="147" fillId="0" borderId="0" xfId="0" applyFont="1" applyAlignment="1">
      <alignment horizontal="center"/>
    </xf>
    <xf numFmtId="0" fontId="144" fillId="0" borderId="0" xfId="0" applyFont="1" applyAlignment="1">
      <alignment horizontal="right" wrapText="1"/>
    </xf>
    <xf numFmtId="0" fontId="144" fillId="0" borderId="0" xfId="0" applyFont="1" applyAlignment="1">
      <alignment horizontal="center" wrapText="1"/>
    </xf>
    <xf numFmtId="171" fontId="2" fillId="2" borderId="0" xfId="1" applyNumberFormat="1" applyFont="1" applyFill="1" applyAlignment="1" applyProtection="1">
      <alignment horizontal="right"/>
    </xf>
    <xf numFmtId="171" fontId="2" fillId="2" borderId="0" xfId="1" applyNumberFormat="1" applyFont="1" applyFill="1" applyAlignment="1" applyProtection="1">
      <alignment horizontal="left" indent="13"/>
    </xf>
    <xf numFmtId="10" fontId="2" fillId="7" borderId="0" xfId="6" applyNumberFormat="1" applyFont="1" applyFill="1" applyBorder="1"/>
    <xf numFmtId="0" fontId="118" fillId="0" borderId="0" xfId="0" applyFont="1" applyAlignment="1">
      <alignment vertical="center"/>
    </xf>
    <xf numFmtId="0" fontId="126" fillId="0" borderId="19" xfId="0" applyFont="1" applyBorder="1" applyAlignment="1">
      <alignment vertical="center"/>
    </xf>
    <xf numFmtId="165" fontId="142" fillId="0" borderId="19" xfId="0" applyNumberFormat="1" applyFont="1" applyBorder="1" applyAlignment="1">
      <alignment horizontal="center" vertical="center"/>
    </xf>
    <xf numFmtId="0" fontId="142" fillId="0" borderId="0" xfId="0" applyFont="1" applyAlignment="1">
      <alignment vertical="center"/>
    </xf>
    <xf numFmtId="164" fontId="142" fillId="0" borderId="19" xfId="0" applyNumberFormat="1" applyFont="1" applyBorder="1" applyAlignment="1">
      <alignment horizontal="center" vertical="center"/>
    </xf>
    <xf numFmtId="0" fontId="67" fillId="7" borderId="0" xfId="0" applyFont="1" applyFill="1" applyAlignment="1">
      <alignment horizontal="center"/>
    </xf>
    <xf numFmtId="0" fontId="3" fillId="0" borderId="0" xfId="0" applyFont="1" applyAlignment="1">
      <alignment horizontal="right"/>
    </xf>
    <xf numFmtId="0" fontId="3" fillId="0" borderId="0" xfId="0" applyFont="1" applyProtection="1">
      <protection hidden="1"/>
    </xf>
    <xf numFmtId="9" fontId="0" fillId="9" borderId="2" xfId="0" applyNumberFormat="1" applyFill="1" applyBorder="1" applyAlignment="1">
      <alignment horizontal="right"/>
    </xf>
    <xf numFmtId="0" fontId="126" fillId="0" borderId="0" xfId="0" applyFont="1" applyAlignment="1">
      <alignment vertical="center"/>
    </xf>
    <xf numFmtId="165" fontId="142" fillId="0" borderId="0" xfId="0" applyNumberFormat="1" applyFont="1" applyAlignment="1">
      <alignment horizontal="center" vertical="center"/>
    </xf>
    <xf numFmtId="164" fontId="142" fillId="0" borderId="0" xfId="0" applyNumberFormat="1" applyFont="1" applyAlignment="1">
      <alignment horizontal="center" vertical="center"/>
    </xf>
    <xf numFmtId="0" fontId="147" fillId="0" borderId="0" xfId="0" applyFont="1" applyAlignment="1">
      <alignment vertical="center"/>
    </xf>
    <xf numFmtId="0" fontId="147" fillId="0" borderId="0" xfId="0" applyFont="1" applyAlignment="1">
      <alignment horizontal="left" vertical="center"/>
    </xf>
    <xf numFmtId="165" fontId="147" fillId="0" borderId="0" xfId="0" applyNumberFormat="1" applyFont="1" applyAlignment="1">
      <alignment horizontal="center" vertical="center"/>
    </xf>
    <xf numFmtId="167" fontId="147" fillId="0" borderId="0" xfId="0" applyNumberFormat="1" applyFont="1" applyAlignment="1">
      <alignment horizontal="center" vertical="center"/>
    </xf>
    <xf numFmtId="6" fontId="147" fillId="0" borderId="0" xfId="0" applyNumberFormat="1" applyFont="1" applyAlignment="1" applyProtection="1">
      <alignment vertical="center"/>
      <protection hidden="1"/>
    </xf>
    <xf numFmtId="165" fontId="150" fillId="0" borderId="0" xfId="0" applyNumberFormat="1" applyFont="1" applyAlignment="1">
      <alignment horizontal="center" vertical="top"/>
    </xf>
    <xf numFmtId="0" fontId="48" fillId="7" borderId="0" xfId="0" applyFont="1" applyFill="1"/>
    <xf numFmtId="0" fontId="12" fillId="7" borderId="0" xfId="0" applyFont="1" applyFill="1" applyAlignment="1" applyProtection="1">
      <alignment horizontal="center"/>
      <protection locked="0"/>
    </xf>
    <xf numFmtId="0" fontId="151" fillId="7" borderId="0" xfId="0" applyFont="1" applyFill="1" applyAlignment="1">
      <alignment horizontal="left" vertical="center" wrapText="1" readingOrder="1"/>
    </xf>
    <xf numFmtId="164" fontId="151" fillId="11" borderId="10" xfId="0" applyNumberFormat="1" applyFont="1" applyFill="1" applyBorder="1" applyAlignment="1">
      <alignment horizontal="center" vertical="center" wrapText="1" readingOrder="1"/>
    </xf>
    <xf numFmtId="164" fontId="151" fillId="11" borderId="16" xfId="0" applyNumberFormat="1" applyFont="1" applyFill="1" applyBorder="1" applyAlignment="1">
      <alignment horizontal="center" vertical="center" wrapText="1" readingOrder="1"/>
    </xf>
    <xf numFmtId="164" fontId="151" fillId="11" borderId="9" xfId="0" applyNumberFormat="1" applyFont="1" applyFill="1" applyBorder="1" applyAlignment="1">
      <alignment horizontal="center" vertical="center" wrapText="1" readingOrder="1"/>
    </xf>
    <xf numFmtId="0" fontId="151" fillId="7" borderId="1" xfId="0" applyFont="1" applyFill="1" applyBorder="1" applyAlignment="1">
      <alignment horizontal="left" vertical="center" wrapText="1" readingOrder="1"/>
    </xf>
    <xf numFmtId="165" fontId="151" fillId="7" borderId="0" xfId="0" applyNumberFormat="1" applyFont="1" applyFill="1" applyAlignment="1">
      <alignment horizontal="center" vertical="center" wrapText="1" readingOrder="1"/>
    </xf>
    <xf numFmtId="9" fontId="152" fillId="7" borderId="1" xfId="0" applyNumberFormat="1" applyFont="1" applyFill="1" applyBorder="1" applyAlignment="1">
      <alignment horizontal="center" vertical="center" wrapText="1" readingOrder="1"/>
    </xf>
    <xf numFmtId="0" fontId="12" fillId="7" borderId="1" xfId="0" applyFont="1" applyFill="1" applyBorder="1" applyAlignment="1">
      <alignment wrapText="1"/>
    </xf>
    <xf numFmtId="0" fontId="12" fillId="7" borderId="5" xfId="0" applyFont="1" applyFill="1" applyBorder="1"/>
    <xf numFmtId="165" fontId="151" fillId="7" borderId="0" xfId="0" applyNumberFormat="1" applyFont="1" applyFill="1" applyAlignment="1">
      <alignment horizontal="center" vertical="center" wrapText="1"/>
    </xf>
    <xf numFmtId="0" fontId="12" fillId="7" borderId="5" xfId="0" applyFont="1" applyFill="1" applyBorder="1" applyAlignment="1">
      <alignment wrapText="1"/>
    </xf>
    <xf numFmtId="0" fontId="12" fillId="7" borderId="3" xfId="0" applyFont="1" applyFill="1" applyBorder="1"/>
    <xf numFmtId="164" fontId="151" fillId="11" borderId="15" xfId="0" applyNumberFormat="1" applyFont="1" applyFill="1" applyBorder="1" applyAlignment="1">
      <alignment horizontal="center" vertical="center" wrapText="1" readingOrder="1"/>
    </xf>
    <xf numFmtId="164" fontId="151" fillId="11" borderId="17" xfId="0" applyNumberFormat="1" applyFont="1" applyFill="1" applyBorder="1" applyAlignment="1">
      <alignment horizontal="center" vertical="center" wrapText="1" readingOrder="1"/>
    </xf>
    <xf numFmtId="164" fontId="151" fillId="11" borderId="7" xfId="0" applyNumberFormat="1" applyFont="1" applyFill="1" applyBorder="1" applyAlignment="1">
      <alignment horizontal="center" vertical="center" wrapText="1" readingOrder="1"/>
    </xf>
    <xf numFmtId="9" fontId="152" fillId="7" borderId="0" xfId="0" applyNumberFormat="1" applyFont="1" applyFill="1" applyAlignment="1">
      <alignment horizontal="center" vertical="center" wrapText="1" readingOrder="1"/>
    </xf>
    <xf numFmtId="0" fontId="12" fillId="7" borderId="0" xfId="0" applyFont="1" applyFill="1" applyAlignment="1">
      <alignment wrapText="1"/>
    </xf>
    <xf numFmtId="165" fontId="151" fillId="11" borderId="10" xfId="0" applyNumberFormat="1" applyFont="1" applyFill="1" applyBorder="1" applyAlignment="1">
      <alignment horizontal="center" vertical="center" wrapText="1"/>
    </xf>
    <xf numFmtId="165" fontId="151" fillId="11" borderId="9" xfId="0" applyNumberFormat="1" applyFont="1" applyFill="1" applyBorder="1" applyAlignment="1">
      <alignment horizontal="center" vertical="center" wrapText="1"/>
    </xf>
    <xf numFmtId="164" fontId="12" fillId="7" borderId="10" xfId="7" applyNumberFormat="1" applyFont="1" applyFill="1" applyBorder="1" applyAlignment="1" applyProtection="1">
      <alignment horizontal="center"/>
    </xf>
    <xf numFmtId="165" fontId="12" fillId="11" borderId="16" xfId="0" applyNumberFormat="1" applyFont="1" applyFill="1" applyBorder="1" applyAlignment="1">
      <alignment horizontal="center" vertical="center" wrapText="1" readingOrder="1"/>
    </xf>
    <xf numFmtId="165" fontId="151" fillId="11" borderId="16" xfId="0" applyNumberFormat="1" applyFont="1" applyFill="1" applyBorder="1" applyAlignment="1">
      <alignment horizontal="center" vertical="center" wrapText="1" readingOrder="1"/>
    </xf>
    <xf numFmtId="165" fontId="12" fillId="11" borderId="9" xfId="0" applyNumberFormat="1" applyFont="1" applyFill="1" applyBorder="1" applyAlignment="1">
      <alignment horizontal="center" vertical="center" wrapText="1" readingOrder="1"/>
    </xf>
    <xf numFmtId="165" fontId="12" fillId="7" borderId="9" xfId="0" applyNumberFormat="1" applyFont="1" applyFill="1" applyBorder="1" applyAlignment="1">
      <alignment horizontal="center"/>
    </xf>
    <xf numFmtId="0" fontId="151" fillId="7" borderId="5" xfId="0" applyFont="1" applyFill="1" applyBorder="1" applyAlignment="1">
      <alignment horizontal="left" vertical="center" wrapText="1" indent="1" readingOrder="1"/>
    </xf>
    <xf numFmtId="9" fontId="152" fillId="7" borderId="5" xfId="0" applyNumberFormat="1" applyFont="1" applyFill="1" applyBorder="1" applyAlignment="1">
      <alignment horizontal="center" vertical="center" wrapText="1" readingOrder="1"/>
    </xf>
    <xf numFmtId="10" fontId="12" fillId="7" borderId="16" xfId="0" applyNumberFormat="1" applyFont="1" applyFill="1" applyBorder="1" applyAlignment="1">
      <alignment horizontal="center"/>
    </xf>
    <xf numFmtId="5" fontId="151" fillId="11" borderId="16" xfId="0" applyNumberFormat="1" applyFont="1" applyFill="1" applyBorder="1" applyAlignment="1">
      <alignment horizontal="center" vertical="center" wrapText="1" readingOrder="1"/>
    </xf>
    <xf numFmtId="6" fontId="12" fillId="7" borderId="16" xfId="0" applyNumberFormat="1" applyFont="1" applyFill="1" applyBorder="1" applyAlignment="1">
      <alignment horizontal="center"/>
    </xf>
    <xf numFmtId="164" fontId="151" fillId="11" borderId="18" xfId="0" applyNumberFormat="1" applyFont="1" applyFill="1" applyBorder="1" applyAlignment="1">
      <alignment horizontal="center" vertical="center" wrapText="1" readingOrder="1"/>
    </xf>
    <xf numFmtId="164" fontId="151" fillId="11" borderId="8" xfId="0" applyNumberFormat="1" applyFont="1" applyFill="1" applyBorder="1" applyAlignment="1">
      <alignment horizontal="center" vertical="center" wrapText="1" readingOrder="1"/>
    </xf>
    <xf numFmtId="2" fontId="12" fillId="11" borderId="10" xfId="0" applyNumberFormat="1" applyFont="1" applyFill="1" applyBorder="1" applyAlignment="1">
      <alignment horizontal="center" vertical="center" wrapText="1" readingOrder="1"/>
    </xf>
    <xf numFmtId="174" fontId="12" fillId="7" borderId="10" xfId="0" applyNumberFormat="1" applyFont="1" applyFill="1" applyBorder="1" applyAlignment="1">
      <alignment horizontal="center"/>
    </xf>
    <xf numFmtId="2" fontId="12" fillId="11" borderId="9" xfId="0" applyNumberFormat="1" applyFont="1" applyFill="1" applyBorder="1" applyAlignment="1">
      <alignment horizontal="center" vertical="center" wrapText="1" readingOrder="1"/>
    </xf>
    <xf numFmtId="174" fontId="12" fillId="7" borderId="9" xfId="0" applyNumberFormat="1" applyFont="1" applyFill="1" applyBorder="1" applyAlignment="1">
      <alignment horizontal="center"/>
    </xf>
    <xf numFmtId="9" fontId="148" fillId="7" borderId="0" xfId="0" applyNumberFormat="1" applyFont="1" applyFill="1" applyAlignment="1">
      <alignment horizontal="center" vertical="center" wrapText="1" readingOrder="1"/>
    </xf>
    <xf numFmtId="2" fontId="151" fillId="7" borderId="2" xfId="0" applyNumberFormat="1" applyFont="1" applyFill="1" applyBorder="1" applyAlignment="1">
      <alignment horizontal="center" vertical="center" wrapText="1" readingOrder="1"/>
    </xf>
    <xf numFmtId="0" fontId="12" fillId="7" borderId="0" xfId="0" applyFont="1" applyFill="1" applyAlignment="1">
      <alignment vertical="center" readingOrder="1"/>
    </xf>
    <xf numFmtId="0" fontId="12" fillId="0" borderId="0" xfId="0" applyFont="1" applyAlignment="1">
      <alignment vertical="center" readingOrder="1"/>
    </xf>
    <xf numFmtId="164" fontId="151" fillId="7" borderId="10" xfId="0" applyNumberFormat="1" applyFont="1" applyFill="1" applyBorder="1" applyAlignment="1">
      <alignment horizontal="center" vertical="center" shrinkToFit="1"/>
    </xf>
    <xf numFmtId="164" fontId="151" fillId="7" borderId="16" xfId="0" applyNumberFormat="1" applyFont="1" applyFill="1" applyBorder="1" applyAlignment="1">
      <alignment horizontal="center" vertical="center" shrinkToFit="1"/>
    </xf>
    <xf numFmtId="164" fontId="151" fillId="7" borderId="9" xfId="0" applyNumberFormat="1" applyFont="1" applyFill="1" applyBorder="1" applyAlignment="1">
      <alignment horizontal="center" vertical="center" shrinkToFit="1"/>
    </xf>
    <xf numFmtId="165" fontId="151" fillId="7" borderId="1" xfId="0" applyNumberFormat="1" applyFont="1" applyFill="1" applyBorder="1" applyAlignment="1">
      <alignment horizontal="center" vertical="center" shrinkToFit="1"/>
    </xf>
    <xf numFmtId="165" fontId="151" fillId="7" borderId="0" xfId="0" applyNumberFormat="1" applyFont="1" applyFill="1" applyAlignment="1">
      <alignment horizontal="center" vertical="center" shrinkToFit="1"/>
    </xf>
    <xf numFmtId="165" fontId="151" fillId="7" borderId="5" xfId="0" applyNumberFormat="1" applyFont="1" applyFill="1" applyBorder="1" applyAlignment="1">
      <alignment horizontal="center" vertical="center" shrinkToFit="1"/>
    </xf>
    <xf numFmtId="165" fontId="12" fillId="7" borderId="16" xfId="0" applyNumberFormat="1" applyFont="1" applyFill="1" applyBorder="1" applyAlignment="1">
      <alignment horizontal="center"/>
    </xf>
    <xf numFmtId="164" fontId="96" fillId="7" borderId="17" xfId="0" applyNumberFormat="1" applyFont="1" applyFill="1" applyBorder="1" applyAlignment="1">
      <alignment horizontal="center" vertical="center" shrinkToFit="1"/>
    </xf>
    <xf numFmtId="164" fontId="151" fillId="11" borderId="2" xfId="0" applyNumberFormat="1" applyFont="1" applyFill="1" applyBorder="1" applyAlignment="1">
      <alignment horizontal="center" vertical="center" wrapText="1" readingOrder="1"/>
    </xf>
    <xf numFmtId="0" fontId="16" fillId="7" borderId="3" xfId="0" applyFont="1" applyFill="1" applyBorder="1" applyAlignment="1">
      <alignment horizontal="left"/>
    </xf>
    <xf numFmtId="164" fontId="12" fillId="7" borderId="3" xfId="7" applyNumberFormat="1" applyFont="1" applyFill="1" applyBorder="1" applyAlignment="1" applyProtection="1">
      <alignment horizontal="left"/>
    </xf>
    <xf numFmtId="0" fontId="16" fillId="7" borderId="3" xfId="0" applyFont="1" applyFill="1" applyBorder="1" applyAlignment="1">
      <alignment horizontal="center"/>
    </xf>
    <xf numFmtId="0" fontId="49" fillId="7" borderId="3" xfId="0" applyFont="1" applyFill="1" applyBorder="1" applyAlignment="1">
      <alignment horizontal="center"/>
    </xf>
    <xf numFmtId="0" fontId="49" fillId="7" borderId="0" xfId="0" applyFont="1" applyFill="1"/>
    <xf numFmtId="0" fontId="108" fillId="7" borderId="0" xfId="0" applyFont="1" applyFill="1"/>
    <xf numFmtId="0" fontId="117" fillId="7" borderId="1" xfId="0" applyFont="1" applyFill="1" applyBorder="1" applyAlignment="1">
      <alignment horizontal="center"/>
    </xf>
    <xf numFmtId="0" fontId="68" fillId="7" borderId="0" xfId="0" applyFont="1" applyFill="1" applyAlignment="1">
      <alignment vertical="center"/>
    </xf>
    <xf numFmtId="0" fontId="69" fillId="0" borderId="10" xfId="0" applyFont="1" applyBorder="1" applyAlignment="1">
      <alignment horizontal="center"/>
    </xf>
    <xf numFmtId="0" fontId="69" fillId="0" borderId="15" xfId="0" applyFont="1" applyBorder="1" applyAlignment="1">
      <alignment horizontal="center"/>
    </xf>
    <xf numFmtId="0" fontId="69" fillId="0" borderId="3" xfId="0" applyFont="1" applyBorder="1" applyAlignment="1">
      <alignment horizontal="center"/>
    </xf>
    <xf numFmtId="0" fontId="69" fillId="0" borderId="9" xfId="0" applyFont="1" applyBorder="1" applyAlignment="1">
      <alignment horizontal="centerContinuous"/>
    </xf>
    <xf numFmtId="0" fontId="69" fillId="0" borderId="7" xfId="0" applyFont="1" applyBorder="1" applyAlignment="1">
      <alignment horizontal="centerContinuous"/>
    </xf>
    <xf numFmtId="0" fontId="69" fillId="0" borderId="1" xfId="0" applyFont="1" applyBorder="1" applyAlignment="1">
      <alignment horizontal="centerContinuous"/>
    </xf>
    <xf numFmtId="0" fontId="41" fillId="0" borderId="0" xfId="0" applyFont="1" applyAlignment="1">
      <alignment horizontal="center"/>
    </xf>
    <xf numFmtId="0" fontId="69" fillId="0" borderId="16" xfId="0" applyFont="1" applyBorder="1" applyAlignment="1">
      <alignment horizontal="center"/>
    </xf>
    <xf numFmtId="0" fontId="69" fillId="0" borderId="0" xfId="0" applyFont="1" applyAlignment="1">
      <alignment horizontal="centerContinuous"/>
    </xf>
    <xf numFmtId="0" fontId="69" fillId="0" borderId="16" xfId="0" applyFont="1" applyBorder="1" applyAlignment="1">
      <alignment horizontal="centerContinuous"/>
    </xf>
    <xf numFmtId="37" fontId="2" fillId="0" borderId="0" xfId="0" applyNumberFormat="1" applyFont="1" applyAlignment="1">
      <alignment horizontal="left" indent="1"/>
    </xf>
    <xf numFmtId="164" fontId="144" fillId="7" borderId="0" xfId="0" applyNumberFormat="1" applyFont="1" applyFill="1" applyAlignment="1">
      <alignment horizontal="center"/>
    </xf>
    <xf numFmtId="165" fontId="2" fillId="0" borderId="16" xfId="0" applyNumberFormat="1" applyFont="1" applyBorder="1" applyAlignment="1">
      <alignment horizontal="right"/>
    </xf>
    <xf numFmtId="165" fontId="2" fillId="0" borderId="0" xfId="0" applyNumberFormat="1" applyFont="1" applyAlignment="1">
      <alignment horizontal="right"/>
    </xf>
    <xf numFmtId="0" fontId="2" fillId="0" borderId="0" xfId="0" applyFont="1" applyAlignment="1">
      <alignment horizontal="center"/>
    </xf>
    <xf numFmtId="37" fontId="26" fillId="0" borderId="0" xfId="0" applyNumberFormat="1" applyFont="1" applyAlignment="1">
      <alignment horizontal="left"/>
    </xf>
    <xf numFmtId="37" fontId="26" fillId="0" borderId="0" xfId="0" applyNumberFormat="1" applyFont="1" applyAlignment="1">
      <alignment horizontal="centerContinuous"/>
    </xf>
    <xf numFmtId="165" fontId="26" fillId="0" borderId="16" xfId="0" applyNumberFormat="1" applyFont="1" applyBorder="1" applyAlignment="1">
      <alignment horizontal="right"/>
    </xf>
    <xf numFmtId="165" fontId="26" fillId="0" borderId="0" xfId="0" applyNumberFormat="1" applyFont="1" applyAlignment="1">
      <alignment horizontal="right"/>
    </xf>
    <xf numFmtId="37" fontId="2" fillId="0" borderId="0" xfId="0" applyNumberFormat="1" applyFont="1" applyAlignment="1">
      <alignment horizontal="left"/>
    </xf>
    <xf numFmtId="37" fontId="2" fillId="0" borderId="0" xfId="0" applyNumberFormat="1" applyFont="1" applyAlignment="1">
      <alignment horizontal="centerContinuous"/>
    </xf>
    <xf numFmtId="37" fontId="26" fillId="0" borderId="5" xfId="0" applyNumberFormat="1" applyFont="1" applyBorder="1" applyAlignment="1">
      <alignment horizontal="left"/>
    </xf>
    <xf numFmtId="37" fontId="26" fillId="0" borderId="5" xfId="0" applyNumberFormat="1" applyFont="1" applyBorder="1" applyAlignment="1">
      <alignment horizontal="center"/>
    </xf>
    <xf numFmtId="37" fontId="2" fillId="0" borderId="5" xfId="0" applyNumberFormat="1" applyFont="1" applyBorder="1" applyAlignment="1">
      <alignment horizontal="centerContinuous"/>
    </xf>
    <xf numFmtId="165" fontId="2" fillId="0" borderId="2" xfId="0" applyNumberFormat="1" applyFont="1" applyBorder="1" applyAlignment="1">
      <alignment horizontal="right"/>
    </xf>
    <xf numFmtId="165" fontId="2" fillId="0" borderId="5" xfId="0" applyNumberFormat="1" applyFont="1" applyBorder="1" applyAlignment="1">
      <alignment horizontal="right"/>
    </xf>
    <xf numFmtId="37" fontId="30" fillId="0" borderId="0" xfId="0" applyNumberFormat="1" applyFont="1" applyAlignment="1">
      <alignment horizontal="center"/>
    </xf>
    <xf numFmtId="37" fontId="70" fillId="0" borderId="0" xfId="0" applyNumberFormat="1" applyFont="1" applyAlignment="1">
      <alignment horizontal="center"/>
    </xf>
    <xf numFmtId="165" fontId="30" fillId="0" borderId="16" xfId="0" applyNumberFormat="1" applyFont="1" applyBorder="1" applyAlignment="1">
      <alignment horizontal="center"/>
    </xf>
    <xf numFmtId="37" fontId="68" fillId="0" borderId="0" xfId="0" applyNumberFormat="1" applyFont="1" applyAlignment="1">
      <alignment horizontal="center"/>
    </xf>
    <xf numFmtId="37" fontId="2" fillId="0" borderId="0" xfId="0" applyNumberFormat="1" applyFont="1" applyAlignment="1">
      <alignment horizontal="center"/>
    </xf>
    <xf numFmtId="37" fontId="2" fillId="0" borderId="0" xfId="0" applyNumberFormat="1" applyFont="1"/>
    <xf numFmtId="10" fontId="144" fillId="7" borderId="0" xfId="0" applyNumberFormat="1" applyFont="1" applyFill="1" applyAlignment="1">
      <alignment horizontal="center"/>
    </xf>
    <xf numFmtId="37" fontId="26" fillId="0" borderId="0" xfId="0" applyNumberFormat="1" applyFont="1" applyAlignment="1">
      <alignment horizontal="center"/>
    </xf>
    <xf numFmtId="37" fontId="69" fillId="0" borderId="0" xfId="0" applyNumberFormat="1" applyFont="1" applyAlignment="1">
      <alignment horizontal="center"/>
    </xf>
    <xf numFmtId="5" fontId="2" fillId="0" borderId="0" xfId="0" applyNumberFormat="1" applyFont="1"/>
    <xf numFmtId="37" fontId="2" fillId="7" borderId="0" xfId="0" applyNumberFormat="1" applyFont="1" applyFill="1"/>
    <xf numFmtId="37" fontId="2" fillId="7" borderId="0" xfId="0" applyNumberFormat="1" applyFont="1" applyFill="1" applyAlignment="1">
      <alignment horizontal="centerContinuous"/>
    </xf>
    <xf numFmtId="165" fontId="2" fillId="7" borderId="16" xfId="0" applyNumberFormat="1" applyFont="1" applyFill="1" applyBorder="1" applyAlignment="1">
      <alignment horizontal="right"/>
    </xf>
    <xf numFmtId="165" fontId="2" fillId="7" borderId="0" xfId="0" applyNumberFormat="1" applyFont="1" applyFill="1" applyAlignment="1">
      <alignment horizontal="right"/>
    </xf>
    <xf numFmtId="165" fontId="2" fillId="7" borderId="18" xfId="0" applyNumberFormat="1" applyFont="1" applyFill="1" applyBorder="1" applyAlignment="1">
      <alignment horizontal="right"/>
    </xf>
    <xf numFmtId="165" fontId="2" fillId="0" borderId="16" xfId="0" applyNumberFormat="1" applyFont="1" applyBorder="1" applyAlignment="1">
      <alignment horizontal="right" vertical="center"/>
    </xf>
    <xf numFmtId="0" fontId="2" fillId="0" borderId="0" xfId="0" applyFont="1" applyAlignment="1">
      <alignment horizontal="center" vertical="center"/>
    </xf>
    <xf numFmtId="5" fontId="2" fillId="0" borderId="0" xfId="0" applyNumberFormat="1" applyFont="1" applyAlignment="1">
      <alignment horizontal="center" vertical="center"/>
    </xf>
    <xf numFmtId="165" fontId="2" fillId="0" borderId="9" xfId="0" applyNumberFormat="1" applyFont="1" applyBorder="1" applyAlignment="1">
      <alignment horizontal="right"/>
    </xf>
    <xf numFmtId="165" fontId="2" fillId="0" borderId="18" xfId="0" applyNumberFormat="1" applyFont="1" applyBorder="1" applyAlignment="1">
      <alignment horizontal="right"/>
    </xf>
    <xf numFmtId="37" fontId="26" fillId="0" borderId="5" xfId="0" applyNumberFormat="1" applyFont="1" applyBorder="1" applyAlignment="1">
      <alignment horizontal="centerContinuous"/>
    </xf>
    <xf numFmtId="165" fontId="26" fillId="0" borderId="2" xfId="0" applyNumberFormat="1" applyFont="1" applyBorder="1" applyAlignment="1">
      <alignment horizontal="right"/>
    </xf>
    <xf numFmtId="165" fontId="26" fillId="0" borderId="6" xfId="0" applyNumberFormat="1" applyFont="1" applyBorder="1" applyAlignment="1">
      <alignment horizontal="right"/>
    </xf>
    <xf numFmtId="2" fontId="2" fillId="0" borderId="0" xfId="0" applyNumberFormat="1" applyFont="1" applyAlignment="1">
      <alignment horizontal="center"/>
    </xf>
    <xf numFmtId="2" fontId="2" fillId="0" borderId="16" xfId="0" applyNumberFormat="1" applyFont="1" applyBorder="1" applyAlignment="1">
      <alignment horizontal="center"/>
    </xf>
    <xf numFmtId="37" fontId="69" fillId="0" borderId="0" xfId="0" applyNumberFormat="1" applyFont="1" applyAlignment="1">
      <alignment horizontal="left"/>
    </xf>
    <xf numFmtId="37" fontId="71" fillId="0" borderId="0" xfId="0" applyNumberFormat="1" applyFont="1" applyAlignment="1">
      <alignment horizontal="center"/>
    </xf>
    <xf numFmtId="37" fontId="26" fillId="0" borderId="6" xfId="0" applyNumberFormat="1" applyFont="1" applyBorder="1" applyAlignment="1">
      <alignment horizontal="centerContinuous"/>
    </xf>
    <xf numFmtId="165" fontId="26" fillId="0" borderId="5" xfId="0" applyNumberFormat="1" applyFont="1" applyBorder="1" applyAlignment="1">
      <alignment horizontal="right"/>
    </xf>
    <xf numFmtId="37" fontId="2" fillId="0" borderId="0" xfId="0" applyNumberFormat="1" applyFont="1" applyAlignment="1">
      <alignment horizontal="right"/>
    </xf>
    <xf numFmtId="37" fontId="153" fillId="0" borderId="0" xfId="0" applyNumberFormat="1" applyFont="1" applyAlignment="1">
      <alignment horizontal="left" vertical="center"/>
    </xf>
    <xf numFmtId="165" fontId="2" fillId="9" borderId="2" xfId="0" applyNumberFormat="1" applyFont="1" applyFill="1" applyBorder="1" applyAlignment="1" applyProtection="1">
      <alignment horizontal="right"/>
      <protection locked="0"/>
    </xf>
    <xf numFmtId="165" fontId="2" fillId="9" borderId="5" xfId="0" applyNumberFormat="1" applyFont="1" applyFill="1" applyBorder="1" applyAlignment="1" applyProtection="1">
      <alignment horizontal="right"/>
      <protection locked="0"/>
    </xf>
    <xf numFmtId="165" fontId="2" fillId="3" borderId="6" xfId="0" applyNumberFormat="1" applyFont="1" applyFill="1" applyBorder="1" applyAlignment="1" applyProtection="1">
      <alignment horizontal="right"/>
      <protection locked="0"/>
    </xf>
    <xf numFmtId="2" fontId="30" fillId="0" borderId="0" xfId="0" applyNumberFormat="1" applyFont="1" applyAlignment="1">
      <alignment horizontal="center"/>
    </xf>
    <xf numFmtId="37" fontId="26" fillId="7" borderId="0" xfId="0" applyNumberFormat="1" applyFont="1" applyFill="1" applyAlignment="1">
      <alignment horizontal="left"/>
    </xf>
    <xf numFmtId="165" fontId="2" fillId="7" borderId="6" xfId="0" applyNumberFormat="1" applyFont="1" applyFill="1" applyBorder="1" applyAlignment="1" applyProtection="1">
      <alignment horizontal="right"/>
      <protection locked="0"/>
    </xf>
    <xf numFmtId="165" fontId="2" fillId="7" borderId="2" xfId="0" applyNumberFormat="1" applyFont="1" applyFill="1" applyBorder="1" applyAlignment="1" applyProtection="1">
      <alignment horizontal="right"/>
      <protection locked="0"/>
    </xf>
    <xf numFmtId="37" fontId="2" fillId="0" borderId="18" xfId="0" applyNumberFormat="1" applyFont="1" applyBorder="1" applyAlignment="1">
      <alignment horizontal="centerContinuous"/>
    </xf>
    <xf numFmtId="6" fontId="2" fillId="0" borderId="16" xfId="0" applyNumberFormat="1" applyFont="1" applyBorder="1" applyAlignment="1">
      <alignment horizontal="right" vertical="center"/>
    </xf>
    <xf numFmtId="37" fontId="30" fillId="0" borderId="1" xfId="0" applyNumberFormat="1" applyFont="1" applyBorder="1" applyAlignment="1">
      <alignment horizontal="center"/>
    </xf>
    <xf numFmtId="37" fontId="70" fillId="0" borderId="1" xfId="0" applyNumberFormat="1" applyFont="1" applyBorder="1" applyAlignment="1">
      <alignment horizontal="center"/>
    </xf>
    <xf numFmtId="37" fontId="30" fillId="0" borderId="8" xfId="0" applyNumberFormat="1" applyFont="1" applyBorder="1" applyAlignment="1">
      <alignment horizontal="center"/>
    </xf>
    <xf numFmtId="0" fontId="69" fillId="0" borderId="17" xfId="0" applyFont="1" applyBorder="1" applyAlignment="1">
      <alignment horizontal="center"/>
    </xf>
    <xf numFmtId="0" fontId="69" fillId="0" borderId="0" xfId="0" applyFont="1" applyAlignment="1">
      <alignment horizontal="center"/>
    </xf>
    <xf numFmtId="0" fontId="69" fillId="0" borderId="30" xfId="0" applyFont="1" applyBorder="1" applyAlignment="1">
      <alignment horizontal="center"/>
    </xf>
    <xf numFmtId="0" fontId="83" fillId="0" borderId="0" xfId="0" applyFont="1" applyAlignment="1">
      <alignment horizontal="left" indent="5"/>
    </xf>
    <xf numFmtId="0" fontId="154" fillId="0" borderId="0" xfId="0" applyFont="1" applyAlignment="1">
      <alignment horizontal="left" indent="5"/>
    </xf>
    <xf numFmtId="0" fontId="117" fillId="7" borderId="0" xfId="0" applyFont="1" applyFill="1" applyAlignment="1">
      <alignment horizontal="left" vertical="center"/>
    </xf>
    <xf numFmtId="0" fontId="60" fillId="2" borderId="0" xfId="0" applyFont="1" applyFill="1"/>
    <xf numFmtId="0" fontId="0" fillId="0" borderId="0" xfId="0" applyAlignment="1">
      <alignment horizontal="left"/>
    </xf>
    <xf numFmtId="0" fontId="21" fillId="7" borderId="0" xfId="0" applyFont="1" applyFill="1" applyAlignment="1">
      <alignment horizontal="left"/>
    </xf>
    <xf numFmtId="0" fontId="21" fillId="7" borderId="0" xfId="0" applyFont="1" applyFill="1" applyAlignment="1">
      <alignment horizontal="center"/>
    </xf>
    <xf numFmtId="0" fontId="3" fillId="7" borderId="0" xfId="0" quotePrefix="1" applyFont="1" applyFill="1"/>
    <xf numFmtId="9" fontId="124" fillId="7" borderId="3" xfId="7" applyFont="1" applyFill="1" applyBorder="1" applyAlignment="1" applyProtection="1">
      <alignment horizontal="center" vertical="center" wrapText="1" readingOrder="1"/>
    </xf>
    <xf numFmtId="0" fontId="115" fillId="0" borderId="0" xfId="0" applyFont="1" applyAlignment="1">
      <alignment horizontal="center"/>
    </xf>
    <xf numFmtId="0" fontId="12" fillId="7" borderId="0" xfId="0" quotePrefix="1" applyFont="1" applyFill="1"/>
    <xf numFmtId="9" fontId="124" fillId="7" borderId="1" xfId="7" applyFont="1" applyFill="1" applyBorder="1" applyAlignment="1" applyProtection="1">
      <alignment horizontal="center" vertical="center" wrapText="1" readingOrder="1"/>
    </xf>
    <xf numFmtId="0" fontId="16" fillId="7" borderId="0" xfId="0" quotePrefix="1" applyFont="1" applyFill="1"/>
    <xf numFmtId="0" fontId="113" fillId="0" borderId="0" xfId="0" applyFont="1" applyAlignment="1">
      <alignment horizontal="left"/>
    </xf>
    <xf numFmtId="0" fontId="113" fillId="0" borderId="0" xfId="0" applyFont="1" applyAlignment="1">
      <alignment horizontal="center" wrapText="1"/>
    </xf>
    <xf numFmtId="5" fontId="113" fillId="3" borderId="3" xfId="0" applyNumberFormat="1" applyFont="1" applyFill="1" applyBorder="1" applyAlignment="1">
      <alignment horizontal="center" vertical="center"/>
    </xf>
    <xf numFmtId="5" fontId="113" fillId="3" borderId="5" xfId="0" applyNumberFormat="1" applyFont="1" applyFill="1" applyBorder="1" applyAlignment="1">
      <alignment horizontal="center" vertical="center"/>
    </xf>
    <xf numFmtId="5" fontId="113" fillId="3" borderId="0" xfId="0" applyNumberFormat="1" applyFont="1" applyFill="1" applyAlignment="1">
      <alignment horizontal="center" vertical="center"/>
    </xf>
    <xf numFmtId="5" fontId="113" fillId="3" borderId="1" xfId="0" applyNumberFormat="1" applyFont="1" applyFill="1" applyBorder="1" applyAlignment="1">
      <alignment horizontal="center" vertical="center"/>
    </xf>
    <xf numFmtId="0" fontId="113" fillId="0" borderId="0" xfId="0" applyFont="1" applyAlignment="1">
      <alignment horizontal="right"/>
    </xf>
    <xf numFmtId="0" fontId="115" fillId="0" borderId="0" xfId="0" applyFont="1" applyAlignment="1">
      <alignment horizontal="left"/>
    </xf>
    <xf numFmtId="0" fontId="155" fillId="0" borderId="0" xfId="0" applyFont="1"/>
    <xf numFmtId="9" fontId="113" fillId="0" borderId="0" xfId="7" applyFont="1" applyBorder="1" applyAlignment="1" applyProtection="1">
      <alignment horizontal="center"/>
    </xf>
    <xf numFmtId="0" fontId="113" fillId="0" borderId="0" xfId="0" applyFont="1" applyAlignment="1">
      <alignment horizontal="left" vertical="center"/>
    </xf>
    <xf numFmtId="0" fontId="114" fillId="0" borderId="0" xfId="0" applyFont="1" applyAlignment="1">
      <alignment horizontal="left" wrapText="1"/>
    </xf>
    <xf numFmtId="0" fontId="113" fillId="0" borderId="3" xfId="0" applyFont="1" applyBorder="1" applyAlignment="1">
      <alignment horizontal="left" indent="4"/>
    </xf>
    <xf numFmtId="0" fontId="124" fillId="0" borderId="3" xfId="0" applyFont="1" applyBorder="1"/>
    <xf numFmtId="0" fontId="113" fillId="0" borderId="0" xfId="0" applyFont="1" applyAlignment="1">
      <alignment horizontal="left" indent="4"/>
    </xf>
    <xf numFmtId="165" fontId="124" fillId="7" borderId="0" xfId="0" applyNumberFormat="1" applyFont="1" applyFill="1" applyAlignment="1">
      <alignment horizontal="center" vertical="center" wrapText="1" readingOrder="1"/>
    </xf>
    <xf numFmtId="165" fontId="113" fillId="0" borderId="0" xfId="0" applyNumberFormat="1" applyFont="1" applyAlignment="1">
      <alignment horizontal="center"/>
    </xf>
    <xf numFmtId="0" fontId="124" fillId="0" borderId="0" xfId="0" applyFont="1"/>
    <xf numFmtId="0" fontId="113" fillId="0" borderId="1" xfId="0" applyFont="1" applyBorder="1" applyAlignment="1">
      <alignment horizontal="left" indent="4"/>
    </xf>
    <xf numFmtId="0" fontId="124" fillId="0" borderId="1" xfId="0" applyFont="1" applyBorder="1"/>
    <xf numFmtId="9" fontId="113" fillId="0" borderId="1" xfId="0" applyNumberFormat="1" applyFont="1" applyBorder="1" applyAlignment="1">
      <alignment horizontal="center"/>
    </xf>
    <xf numFmtId="0" fontId="2" fillId="0" borderId="0" xfId="0" applyFont="1" applyAlignment="1">
      <alignment horizontal="left" indent="4"/>
    </xf>
    <xf numFmtId="9" fontId="2" fillId="0" borderId="0" xfId="0" applyNumberFormat="1" applyFont="1" applyAlignment="1">
      <alignment horizontal="center"/>
    </xf>
    <xf numFmtId="0" fontId="80" fillId="7" borderId="3" xfId="0" applyFont="1" applyFill="1" applyBorder="1"/>
    <xf numFmtId="165" fontId="80" fillId="7" borderId="3" xfId="0" applyNumberFormat="1" applyFont="1" applyFill="1" applyBorder="1" applyAlignment="1">
      <alignment horizontal="center"/>
    </xf>
    <xf numFmtId="0" fontId="80" fillId="7" borderId="0" xfId="0" applyFont="1" applyFill="1" applyAlignment="1">
      <alignment horizontal="center"/>
    </xf>
    <xf numFmtId="0" fontId="82" fillId="7" borderId="0" xfId="0" applyFont="1" applyFill="1" applyAlignment="1">
      <alignment horizontal="left"/>
    </xf>
    <xf numFmtId="0" fontId="80" fillId="7" borderId="1" xfId="0" applyFont="1" applyFill="1" applyBorder="1" applyAlignment="1">
      <alignment horizontal="left" indent="1"/>
    </xf>
    <xf numFmtId="0" fontId="80" fillId="7" borderId="1" xfId="0" applyFont="1" applyFill="1" applyBorder="1"/>
    <xf numFmtId="165" fontId="80" fillId="7" borderId="1" xfId="0" applyNumberFormat="1" applyFont="1" applyFill="1" applyBorder="1" applyAlignment="1">
      <alignment horizontal="center"/>
    </xf>
    <xf numFmtId="0" fontId="80" fillId="7" borderId="0" xfId="0" applyFont="1" applyFill="1" applyAlignment="1">
      <alignment horizontal="left" indent="1"/>
    </xf>
    <xf numFmtId="165" fontId="80" fillId="7" borderId="0" xfId="0" applyNumberFormat="1" applyFont="1" applyFill="1" applyAlignment="1">
      <alignment horizontal="center"/>
    </xf>
    <xf numFmtId="164" fontId="80" fillId="7" borderId="0" xfId="7" applyNumberFormat="1" applyFont="1" applyFill="1" applyBorder="1" applyAlignment="1" applyProtection="1">
      <alignment horizontal="center"/>
    </xf>
    <xf numFmtId="0" fontId="156" fillId="7" borderId="0" xfId="0" applyFont="1" applyFill="1"/>
    <xf numFmtId="164" fontId="80" fillId="7" borderId="0" xfId="0" applyNumberFormat="1" applyFont="1" applyFill="1" applyAlignment="1">
      <alignment horizontal="center"/>
    </xf>
    <xf numFmtId="0" fontId="80" fillId="7" borderId="1" xfId="0" applyFont="1" applyFill="1" applyBorder="1" applyAlignment="1">
      <alignment horizontal="center"/>
    </xf>
    <xf numFmtId="0" fontId="156" fillId="7" borderId="1" xfId="0" applyFont="1" applyFill="1" applyBorder="1"/>
    <xf numFmtId="0" fontId="157" fillId="0" borderId="0" xfId="0" applyFont="1" applyAlignment="1">
      <alignment horizontal="center" wrapText="1"/>
    </xf>
    <xf numFmtId="0" fontId="80" fillId="7" borderId="0" xfId="0" applyFont="1" applyFill="1" applyAlignment="1">
      <alignment horizontal="left" vertical="center" indent="1"/>
    </xf>
    <xf numFmtId="0" fontId="80" fillId="7" borderId="0" xfId="0" applyFont="1" applyFill="1" applyAlignment="1">
      <alignment horizontal="center" vertical="center"/>
    </xf>
    <xf numFmtId="0" fontId="82" fillId="7" borderId="0" xfId="0" applyFont="1" applyFill="1" applyAlignment="1">
      <alignment horizontal="left" vertical="center"/>
    </xf>
    <xf numFmtId="0" fontId="82" fillId="7" borderId="0" xfId="0" applyFont="1" applyFill="1" applyAlignment="1">
      <alignment vertical="center"/>
    </xf>
    <xf numFmtId="0" fontId="96" fillId="7" borderId="0" xfId="0" applyFont="1" applyFill="1" applyAlignment="1">
      <alignment vertical="center"/>
    </xf>
    <xf numFmtId="0" fontId="96" fillId="7" borderId="0" xfId="0" applyFont="1" applyFill="1" applyAlignment="1">
      <alignment horizontal="right" vertical="center"/>
    </xf>
    <xf numFmtId="0" fontId="158" fillId="7" borderId="0" xfId="0" applyFont="1" applyFill="1" applyAlignment="1">
      <alignment horizontal="center" vertical="center"/>
    </xf>
    <xf numFmtId="0" fontId="96" fillId="7" borderId="0" xfId="0" applyFont="1" applyFill="1" applyAlignment="1">
      <alignment horizontal="left" vertical="center"/>
    </xf>
    <xf numFmtId="0" fontId="159" fillId="7" borderId="0" xfId="0" applyFont="1" applyFill="1" applyAlignment="1">
      <alignment vertical="center"/>
    </xf>
    <xf numFmtId="165" fontId="156" fillId="7" borderId="0" xfId="0" applyNumberFormat="1" applyFont="1" applyFill="1" applyAlignment="1">
      <alignment horizontal="center"/>
    </xf>
    <xf numFmtId="0" fontId="83" fillId="7" borderId="3" xfId="0" applyFont="1" applyFill="1" applyBorder="1" applyAlignment="1">
      <alignment vertical="center"/>
    </xf>
    <xf numFmtId="0" fontId="83" fillId="7" borderId="0" xfId="0" applyFont="1" applyFill="1" applyAlignment="1">
      <alignment vertical="center"/>
    </xf>
    <xf numFmtId="0" fontId="86" fillId="7" borderId="0" xfId="0" applyFont="1" applyFill="1" applyAlignment="1">
      <alignment horizontal="left" vertical="center"/>
    </xf>
    <xf numFmtId="0" fontId="86" fillId="7" borderId="0" xfId="0" applyFont="1" applyFill="1" applyAlignment="1">
      <alignment vertical="center"/>
    </xf>
    <xf numFmtId="0" fontId="30" fillId="7" borderId="0" xfId="0" applyFont="1" applyFill="1" applyAlignment="1">
      <alignment vertical="center"/>
    </xf>
    <xf numFmtId="0" fontId="44" fillId="0" borderId="1" xfId="0" applyFont="1" applyBorder="1" applyAlignment="1">
      <alignment horizontal="center"/>
    </xf>
    <xf numFmtId="0" fontId="80" fillId="0" borderId="0" xfId="0" applyFont="1" applyAlignment="1">
      <alignment horizontal="center"/>
    </xf>
    <xf numFmtId="0" fontId="33" fillId="0" borderId="0" xfId="0" applyFont="1" applyAlignment="1">
      <alignment vertical="center" wrapText="1"/>
    </xf>
    <xf numFmtId="0" fontId="80" fillId="0" borderId="1" xfId="0" applyFont="1" applyBorder="1" applyAlignment="1">
      <alignment horizontal="left" indent="5"/>
    </xf>
    <xf numFmtId="0" fontId="80" fillId="0" borderId="1" xfId="0" applyFont="1" applyBorder="1" applyAlignment="1">
      <alignment horizontal="center"/>
    </xf>
    <xf numFmtId="0" fontId="2" fillId="0" borderId="0" xfId="0" applyFont="1" applyAlignment="1">
      <alignment horizontal="left" indent="5"/>
    </xf>
    <xf numFmtId="164" fontId="2" fillId="0" borderId="0" xfId="0" applyNumberFormat="1" applyFont="1" applyAlignment="1">
      <alignment horizontal="center"/>
    </xf>
    <xf numFmtId="170" fontId="12" fillId="7" borderId="17" xfId="0" applyNumberFormat="1" applyFont="1" applyFill="1" applyBorder="1" applyAlignment="1">
      <alignment horizontal="center" vertical="center" wrapText="1" readingOrder="1"/>
    </xf>
    <xf numFmtId="0" fontId="2" fillId="0" borderId="1" xfId="0" applyFont="1" applyBorder="1" applyAlignment="1">
      <alignment horizontal="left" indent="5"/>
    </xf>
    <xf numFmtId="164" fontId="2" fillId="0" borderId="1" xfId="0" applyNumberFormat="1" applyFont="1" applyBorder="1" applyAlignment="1">
      <alignment horizontal="center"/>
    </xf>
    <xf numFmtId="170" fontId="12" fillId="7" borderId="7" xfId="0" applyNumberFormat="1" applyFont="1" applyFill="1" applyBorder="1" applyAlignment="1">
      <alignment horizontal="center" vertical="center" wrapText="1" readingOrder="1"/>
    </xf>
    <xf numFmtId="0" fontId="26" fillId="0" borderId="0" xfId="0" applyFont="1" applyAlignment="1">
      <alignment horizontal="right" indent="3"/>
    </xf>
    <xf numFmtId="0" fontId="2" fillId="0" borderId="3" xfId="0" applyFont="1" applyBorder="1" applyAlignment="1">
      <alignment horizontal="center"/>
    </xf>
    <xf numFmtId="0" fontId="26" fillId="0" borderId="3" xfId="0" applyFont="1" applyBorder="1" applyAlignment="1">
      <alignment horizontal="center"/>
    </xf>
    <xf numFmtId="0" fontId="26" fillId="0" borderId="0" xfId="0" applyFont="1" applyAlignment="1">
      <alignment horizontal="left"/>
    </xf>
    <xf numFmtId="6" fontId="2" fillId="0" borderId="0" xfId="0" applyNumberFormat="1" applyFont="1" applyAlignment="1">
      <alignment horizontal="center"/>
    </xf>
    <xf numFmtId="6" fontId="2" fillId="0" borderId="1" xfId="0" applyNumberFormat="1" applyFont="1" applyBorder="1" applyAlignment="1">
      <alignment horizontal="center"/>
    </xf>
    <xf numFmtId="0" fontId="26" fillId="0" borderId="0" xfId="0" applyFont="1" applyAlignment="1">
      <alignment horizontal="right"/>
    </xf>
    <xf numFmtId="0" fontId="2" fillId="0" borderId="0" xfId="0" applyFont="1" applyAlignment="1">
      <alignment horizontal="right"/>
    </xf>
    <xf numFmtId="0" fontId="30" fillId="0" borderId="0" xfId="0" applyFont="1" applyAlignment="1">
      <alignment horizontal="left"/>
    </xf>
    <xf numFmtId="0" fontId="110" fillId="7" borderId="0" xfId="0" applyFont="1" applyFill="1" applyAlignment="1">
      <alignment wrapText="1"/>
    </xf>
    <xf numFmtId="0" fontId="160" fillId="7" borderId="0" xfId="4" applyFont="1" applyFill="1" applyAlignment="1">
      <alignment horizontal="left"/>
    </xf>
    <xf numFmtId="37" fontId="2" fillId="0" borderId="0" xfId="0" applyNumberFormat="1" applyFont="1" applyAlignment="1">
      <alignment horizontal="left" vertical="top" indent="1"/>
    </xf>
    <xf numFmtId="0" fontId="30" fillId="0" borderId="0" xfId="0" applyFont="1" applyAlignment="1">
      <alignment horizontal="right"/>
    </xf>
    <xf numFmtId="164" fontId="30" fillId="0" borderId="0" xfId="7" applyNumberFormat="1" applyFont="1" applyBorder="1" applyAlignment="1">
      <alignment horizontal="center" vertical="center"/>
    </xf>
    <xf numFmtId="0" fontId="144" fillId="7" borderId="0" xfId="0" applyFont="1" applyFill="1"/>
    <xf numFmtId="6" fontId="144" fillId="7" borderId="0" xfId="0" applyNumberFormat="1" applyFont="1" applyFill="1" applyAlignment="1">
      <alignment horizontal="center"/>
    </xf>
    <xf numFmtId="164" fontId="144" fillId="7" borderId="0" xfId="7" applyNumberFormat="1" applyFont="1" applyFill="1" applyBorder="1" applyAlignment="1">
      <alignment horizontal="center"/>
    </xf>
    <xf numFmtId="10" fontId="3" fillId="7" borderId="0" xfId="0" applyNumberFormat="1" applyFont="1" applyFill="1"/>
    <xf numFmtId="9" fontId="12" fillId="7" borderId="0" xfId="0" applyNumberFormat="1" applyFont="1" applyFill="1" applyAlignment="1">
      <alignment horizontal="right"/>
    </xf>
    <xf numFmtId="165" fontId="16" fillId="7" borderId="0" xfId="0" applyNumberFormat="1" applyFont="1" applyFill="1"/>
    <xf numFmtId="0" fontId="86" fillId="7" borderId="0" xfId="0" applyFont="1" applyFill="1"/>
    <xf numFmtId="169" fontId="12" fillId="7" borderId="0" xfId="0" applyNumberFormat="1" applyFont="1" applyFill="1"/>
    <xf numFmtId="0" fontId="154" fillId="7" borderId="0" xfId="0" applyFont="1" applyFill="1"/>
    <xf numFmtId="165" fontId="84" fillId="7" borderId="1" xfId="0" applyNumberFormat="1" applyFont="1" applyFill="1" applyBorder="1"/>
    <xf numFmtId="0" fontId="82" fillId="7" borderId="1" xfId="0" applyFont="1" applyFill="1" applyBorder="1"/>
    <xf numFmtId="10" fontId="12" fillId="7" borderId="0" xfId="0" applyNumberFormat="1" applyFont="1" applyFill="1"/>
    <xf numFmtId="3" fontId="12" fillId="7" borderId="0" xfId="0" applyNumberFormat="1" applyFont="1" applyFill="1"/>
    <xf numFmtId="3" fontId="12" fillId="3" borderId="0" xfId="0" applyNumberFormat="1" applyFont="1" applyFill="1" applyProtection="1">
      <protection locked="0"/>
    </xf>
    <xf numFmtId="165" fontId="12" fillId="7" borderId="0" xfId="0" applyNumberFormat="1" applyFont="1" applyFill="1"/>
    <xf numFmtId="1" fontId="12" fillId="9" borderId="0" xfId="0" applyNumberFormat="1" applyFont="1" applyFill="1" applyProtection="1">
      <protection locked="0"/>
    </xf>
    <xf numFmtId="165" fontId="12" fillId="7" borderId="1" xfId="0" applyNumberFormat="1" applyFont="1" applyFill="1" applyBorder="1"/>
    <xf numFmtId="0" fontId="73" fillId="7" borderId="1" xfId="0" applyFont="1" applyFill="1" applyBorder="1"/>
    <xf numFmtId="0" fontId="12" fillId="7" borderId="0" xfId="0" applyFont="1" applyFill="1" applyAlignment="1">
      <alignment horizontal="right"/>
    </xf>
    <xf numFmtId="0" fontId="12" fillId="7" borderId="1" xfId="0" quotePrefix="1" applyFont="1" applyFill="1" applyBorder="1"/>
    <xf numFmtId="0" fontId="86" fillId="7" borderId="0" xfId="0" applyFont="1" applyFill="1" applyAlignment="1">
      <alignment vertical="top" wrapText="1"/>
    </xf>
    <xf numFmtId="165" fontId="12" fillId="3" borderId="3" xfId="0" applyNumberFormat="1" applyFont="1" applyFill="1" applyBorder="1" applyProtection="1">
      <protection locked="0"/>
    </xf>
    <xf numFmtId="165" fontId="10" fillId="7" borderId="0" xfId="0" applyNumberFormat="1" applyFont="1" applyFill="1"/>
    <xf numFmtId="0" fontId="10" fillId="7" borderId="0" xfId="0" applyFont="1" applyFill="1"/>
    <xf numFmtId="165" fontId="16" fillId="7" borderId="1" xfId="0" applyNumberFormat="1" applyFont="1" applyFill="1" applyBorder="1"/>
    <xf numFmtId="0" fontId="16" fillId="7" borderId="1" xfId="0" applyFont="1" applyFill="1" applyBorder="1"/>
    <xf numFmtId="49" fontId="12" fillId="7" borderId="1" xfId="0" applyNumberFormat="1" applyFont="1" applyFill="1" applyBorder="1"/>
    <xf numFmtId="165" fontId="82" fillId="7" borderId="0" xfId="0" applyNumberFormat="1" applyFont="1" applyFill="1" applyAlignment="1">
      <alignment horizontal="right"/>
    </xf>
    <xf numFmtId="10" fontId="12" fillId="9" borderId="0" xfId="0" applyNumberFormat="1" applyFont="1" applyFill="1" applyProtection="1">
      <protection locked="0"/>
    </xf>
    <xf numFmtId="173" fontId="12" fillId="7" borderId="0" xfId="0" quotePrefix="1" applyNumberFormat="1" applyFont="1" applyFill="1"/>
    <xf numFmtId="165" fontId="12" fillId="7" borderId="3" xfId="0" applyNumberFormat="1" applyFont="1" applyFill="1" applyBorder="1"/>
    <xf numFmtId="165" fontId="12" fillId="7" borderId="3" xfId="0" quotePrefix="1" applyNumberFormat="1" applyFont="1" applyFill="1" applyBorder="1"/>
    <xf numFmtId="165" fontId="84" fillId="7" borderId="0" xfId="0" applyNumberFormat="1" applyFont="1" applyFill="1"/>
    <xf numFmtId="0" fontId="84" fillId="7" borderId="0" xfId="0" applyFont="1" applyFill="1" applyAlignment="1">
      <alignment horizontal="right"/>
    </xf>
    <xf numFmtId="165" fontId="82" fillId="7" borderId="1" xfId="0" applyNumberFormat="1" applyFont="1" applyFill="1" applyBorder="1"/>
    <xf numFmtId="164" fontId="12" fillId="7" borderId="0" xfId="0" applyNumberFormat="1" applyFont="1" applyFill="1"/>
    <xf numFmtId="165" fontId="82" fillId="3" borderId="3" xfId="0" applyNumberFormat="1" applyFont="1" applyFill="1" applyBorder="1" applyProtection="1">
      <protection locked="0"/>
    </xf>
    <xf numFmtId="0" fontId="82" fillId="7" borderId="3" xfId="0" applyFont="1" applyFill="1" applyBorder="1"/>
    <xf numFmtId="164" fontId="12" fillId="7" borderId="1" xfId="0" applyNumberFormat="1" applyFont="1" applyFill="1" applyBorder="1"/>
    <xf numFmtId="171" fontId="82" fillId="7" borderId="0" xfId="1" quotePrefix="1" applyNumberFormat="1" applyFont="1" applyFill="1" applyBorder="1" applyProtection="1"/>
    <xf numFmtId="164" fontId="12" fillId="7" borderId="1" xfId="0" applyNumberFormat="1" applyFont="1" applyFill="1" applyBorder="1" applyAlignment="1">
      <alignment horizontal="right"/>
    </xf>
    <xf numFmtId="6" fontId="12" fillId="7" borderId="1" xfId="0" applyNumberFormat="1" applyFont="1" applyFill="1" applyBorder="1"/>
    <xf numFmtId="166" fontId="12" fillId="7" borderId="0" xfId="0" quotePrefix="1" applyNumberFormat="1" applyFont="1" applyFill="1"/>
    <xf numFmtId="166" fontId="12" fillId="7" borderId="3" xfId="0" quotePrefix="1" applyNumberFormat="1" applyFont="1" applyFill="1" applyBorder="1"/>
    <xf numFmtId="0" fontId="55" fillId="2" borderId="18" xfId="0" applyFont="1" applyFill="1" applyBorder="1" applyAlignment="1">
      <alignment vertical="center"/>
    </xf>
    <xf numFmtId="165" fontId="3" fillId="7" borderId="0" xfId="0" applyNumberFormat="1" applyFont="1" applyFill="1"/>
    <xf numFmtId="165" fontId="161" fillId="7" borderId="0" xfId="0" applyNumberFormat="1" applyFont="1" applyFill="1" applyAlignment="1">
      <alignment horizontal="center"/>
    </xf>
    <xf numFmtId="165" fontId="161" fillId="7" borderId="3" xfId="0" applyNumberFormat="1" applyFont="1" applyFill="1" applyBorder="1" applyAlignment="1">
      <alignment horizontal="center"/>
    </xf>
    <xf numFmtId="0" fontId="161" fillId="7" borderId="0" xfId="0" applyFont="1" applyFill="1" applyAlignment="1">
      <alignment horizontal="center"/>
    </xf>
    <xf numFmtId="0" fontId="84" fillId="7" borderId="0" xfId="0" applyFont="1" applyFill="1" applyAlignment="1">
      <alignment horizontal="left"/>
    </xf>
    <xf numFmtId="0" fontId="162" fillId="7" borderId="0" xfId="0" applyFont="1" applyFill="1" applyAlignment="1">
      <alignment horizontal="left"/>
    </xf>
    <xf numFmtId="0" fontId="162" fillId="7" borderId="0" xfId="0" applyFont="1" applyFill="1" applyAlignment="1">
      <alignment horizontal="center"/>
    </xf>
    <xf numFmtId="37" fontId="2" fillId="0" borderId="0" xfId="0" applyNumberFormat="1" applyFont="1" applyAlignment="1">
      <alignment horizontal="left" vertical="top" wrapText="1" indent="1"/>
    </xf>
    <xf numFmtId="37" fontId="2" fillId="0" borderId="0" xfId="0" applyNumberFormat="1" applyFont="1" applyAlignment="1">
      <alignment horizontal="center" vertical="center" wrapText="1"/>
    </xf>
    <xf numFmtId="0" fontId="2" fillId="2" borderId="0" xfId="6" applyNumberFormat="1" applyFont="1" applyFill="1" applyAlignment="1">
      <alignment horizontal="left"/>
    </xf>
    <xf numFmtId="0" fontId="2" fillId="2" borderId="0" xfId="1" applyNumberFormat="1" applyFont="1" applyFill="1" applyAlignment="1" applyProtection="1">
      <alignment horizontal="left"/>
    </xf>
    <xf numFmtId="17" fontId="0" fillId="7" borderId="0" xfId="0" applyNumberFormat="1" applyFill="1"/>
    <xf numFmtId="49" fontId="55" fillId="6" borderId="0" xfId="0" applyNumberFormat="1" applyFont="1" applyFill="1" applyAlignment="1">
      <alignment horizontal="center" vertical="center" shrinkToFit="1"/>
    </xf>
    <xf numFmtId="49" fontId="55" fillId="6" borderId="0" xfId="0" applyNumberFormat="1" applyFont="1" applyFill="1" applyAlignment="1">
      <alignment horizontal="center" vertical="center"/>
    </xf>
    <xf numFmtId="0" fontId="2" fillId="7" borderId="0" xfId="0" applyFont="1" applyFill="1" applyAlignment="1">
      <alignment horizontal="center" vertical="top"/>
    </xf>
    <xf numFmtId="0" fontId="12" fillId="0" borderId="0" xfId="0" applyFont="1" applyAlignment="1">
      <alignment horizontal="center" shrinkToFit="1"/>
    </xf>
    <xf numFmtId="0" fontId="16" fillId="7" borderId="0" xfId="0" applyFont="1" applyFill="1" applyAlignment="1">
      <alignment horizontal="left" indent="1"/>
    </xf>
    <xf numFmtId="0" fontId="118" fillId="7" borderId="0" xfId="0" applyFont="1" applyFill="1" applyProtection="1">
      <protection hidden="1"/>
    </xf>
    <xf numFmtId="0" fontId="119" fillId="7" borderId="0" xfId="0" applyFont="1" applyFill="1" applyProtection="1">
      <protection hidden="1"/>
    </xf>
    <xf numFmtId="0" fontId="2" fillId="3" borderId="2" xfId="0" applyFont="1" applyFill="1" applyBorder="1" applyAlignment="1" applyProtection="1">
      <alignment horizontal="left" shrinkToFit="1"/>
      <protection locked="0"/>
    </xf>
    <xf numFmtId="0" fontId="0" fillId="9" borderId="1" xfId="0" applyFill="1" applyBorder="1" applyAlignment="1" applyProtection="1">
      <alignment horizontal="center"/>
      <protection locked="0"/>
    </xf>
    <xf numFmtId="165" fontId="86" fillId="8" borderId="2" xfId="0" applyNumberFormat="1" applyFont="1" applyFill="1" applyBorder="1" applyAlignment="1">
      <alignment horizontal="center"/>
    </xf>
    <xf numFmtId="165" fontId="127" fillId="7" borderId="5" xfId="0" applyNumberFormat="1" applyFont="1" applyFill="1" applyBorder="1" applyAlignment="1">
      <alignment horizontal="center"/>
    </xf>
    <xf numFmtId="0" fontId="163" fillId="7" borderId="0" xfId="0" applyFont="1" applyFill="1" applyAlignment="1">
      <alignment horizontal="right" indent="1"/>
    </xf>
    <xf numFmtId="0" fontId="163" fillId="7" borderId="0" xfId="0" applyFont="1" applyFill="1" applyAlignment="1">
      <alignment horizontal="center"/>
    </xf>
    <xf numFmtId="0" fontId="164" fillId="7" borderId="0" xfId="4" applyFont="1" applyFill="1" applyAlignment="1">
      <alignment horizontal="left"/>
    </xf>
    <xf numFmtId="0" fontId="130" fillId="0" borderId="0" xfId="0" applyFont="1"/>
    <xf numFmtId="0" fontId="163" fillId="7" borderId="5" xfId="0" applyFont="1" applyFill="1" applyBorder="1" applyAlignment="1">
      <alignment horizontal="center"/>
    </xf>
    <xf numFmtId="165" fontId="2" fillId="9" borderId="0" xfId="0" applyNumberFormat="1" applyFont="1" applyFill="1" applyAlignment="1" applyProtection="1">
      <alignment horizontal="right"/>
      <protection locked="0"/>
    </xf>
    <xf numFmtId="165" fontId="2" fillId="9" borderId="16" xfId="0" applyNumberFormat="1" applyFont="1" applyFill="1" applyBorder="1" applyAlignment="1" applyProtection="1">
      <alignment horizontal="right"/>
      <protection locked="0"/>
    </xf>
    <xf numFmtId="10" fontId="119" fillId="2" borderId="0" xfId="0" applyNumberFormat="1" applyFont="1" applyFill="1"/>
    <xf numFmtId="10" fontId="110" fillId="2" borderId="0" xfId="0" applyNumberFormat="1" applyFont="1" applyFill="1"/>
    <xf numFmtId="10" fontId="117" fillId="3" borderId="2" xfId="0" applyNumberFormat="1" applyFont="1" applyFill="1" applyBorder="1" applyAlignment="1" applyProtection="1">
      <alignment horizontal="center"/>
      <protection locked="0"/>
    </xf>
    <xf numFmtId="1" fontId="117" fillId="3" borderId="4" xfId="0" applyNumberFormat="1" applyFont="1" applyFill="1" applyBorder="1" applyAlignment="1" applyProtection="1">
      <alignment horizontal="center"/>
      <protection locked="0"/>
    </xf>
    <xf numFmtId="0" fontId="117" fillId="3" borderId="4" xfId="0" applyFont="1" applyFill="1" applyBorder="1" applyAlignment="1" applyProtection="1">
      <alignment horizontal="center"/>
      <protection locked="0"/>
    </xf>
    <xf numFmtId="165" fontId="117" fillId="3" borderId="4" xfId="0" applyNumberFormat="1" applyFont="1" applyFill="1" applyBorder="1" applyAlignment="1" applyProtection="1">
      <alignment horizontal="center" vertical="center"/>
      <protection locked="0"/>
    </xf>
    <xf numFmtId="49" fontId="29" fillId="6" borderId="0" xfId="0" applyNumberFormat="1" applyFont="1" applyFill="1" applyAlignment="1">
      <alignment horizontal="center"/>
    </xf>
    <xf numFmtId="37" fontId="2" fillId="0" borderId="0" xfId="0" applyNumberFormat="1" applyFont="1" applyAlignment="1">
      <alignment horizontal="left" vertical="top"/>
    </xf>
    <xf numFmtId="165" fontId="33" fillId="6" borderId="20" xfId="0" applyNumberFormat="1" applyFont="1" applyFill="1" applyBorder="1" applyAlignment="1">
      <alignment horizontal="center" vertical="center"/>
    </xf>
    <xf numFmtId="0" fontId="2" fillId="7" borderId="21" xfId="0" applyFont="1" applyFill="1" applyBorder="1" applyAlignment="1">
      <alignment horizontal="center" vertical="center"/>
    </xf>
    <xf numFmtId="165" fontId="62" fillId="6" borderId="20" xfId="0" applyNumberFormat="1" applyFont="1" applyFill="1" applyBorder="1" applyAlignment="1">
      <alignment horizontal="center" vertical="center"/>
    </xf>
    <xf numFmtId="0" fontId="2" fillId="7" borderId="22" xfId="0" applyFont="1" applyFill="1" applyBorder="1" applyAlignment="1">
      <alignment horizontal="center" vertical="center"/>
    </xf>
    <xf numFmtId="165" fontId="33" fillId="6" borderId="23" xfId="0" applyNumberFormat="1" applyFont="1" applyFill="1" applyBorder="1" applyAlignment="1">
      <alignment horizontal="center" vertical="center"/>
    </xf>
    <xf numFmtId="165" fontId="33" fillId="6" borderId="0" xfId="0" applyNumberFormat="1" applyFont="1" applyFill="1" applyAlignment="1">
      <alignment horizontal="center" vertical="center"/>
    </xf>
    <xf numFmtId="0" fontId="12" fillId="7" borderId="0" xfId="0" applyFont="1" applyFill="1" applyAlignment="1">
      <alignment vertical="center"/>
    </xf>
    <xf numFmtId="0" fontId="2" fillId="7" borderId="21" xfId="0" applyFont="1" applyFill="1" applyBorder="1" applyAlignment="1">
      <alignment horizontal="center" wrapText="1"/>
    </xf>
    <xf numFmtId="0" fontId="2" fillId="2" borderId="20" xfId="0" applyFont="1" applyFill="1" applyBorder="1" applyAlignment="1">
      <alignment horizontal="center" wrapText="1"/>
    </xf>
    <xf numFmtId="165" fontId="33" fillId="6" borderId="11" xfId="0" applyNumberFormat="1" applyFont="1" applyFill="1" applyBorder="1" applyAlignment="1">
      <alignment horizontal="center" vertical="center"/>
    </xf>
    <xf numFmtId="0" fontId="33" fillId="2" borderId="21" xfId="0" applyFont="1" applyFill="1" applyBorder="1" applyAlignment="1">
      <alignment horizontal="center" vertical="center" wrapText="1"/>
    </xf>
    <xf numFmtId="0" fontId="33" fillId="2" borderId="21" xfId="0" applyFont="1" applyFill="1" applyBorder="1" applyAlignment="1">
      <alignment horizontal="center" vertical="center"/>
    </xf>
    <xf numFmtId="0" fontId="33" fillId="2" borderId="22" xfId="0" applyFont="1" applyFill="1" applyBorder="1" applyAlignment="1">
      <alignment horizontal="center" vertical="center"/>
    </xf>
    <xf numFmtId="6" fontId="33" fillId="7" borderId="20" xfId="3" applyNumberFormat="1" applyFont="1" applyFill="1" applyBorder="1" applyAlignment="1" applyProtection="1">
      <alignment horizontal="center" vertical="center" wrapText="1"/>
    </xf>
    <xf numFmtId="0" fontId="30" fillId="7" borderId="0" xfId="0" applyFont="1" applyFill="1" applyAlignment="1">
      <alignment horizontal="left" indent="1"/>
    </xf>
    <xf numFmtId="0" fontId="165" fillId="7" borderId="0" xfId="0" applyFont="1" applyFill="1"/>
    <xf numFmtId="0" fontId="12" fillId="0" borderId="0" xfId="0" applyFont="1" applyAlignment="1">
      <alignment shrinkToFit="1"/>
    </xf>
    <xf numFmtId="0" fontId="12" fillId="0" borderId="0" xfId="0" applyFont="1" applyAlignment="1">
      <alignment horizontal="left" shrinkToFit="1"/>
    </xf>
    <xf numFmtId="0" fontId="36" fillId="0" borderId="0" xfId="0" applyFont="1" applyAlignment="1">
      <alignment shrinkToFit="1"/>
    </xf>
    <xf numFmtId="0" fontId="36" fillId="0" borderId="0" xfId="0" applyFont="1" applyAlignment="1">
      <alignment horizontal="left" shrinkToFit="1"/>
    </xf>
    <xf numFmtId="0" fontId="12" fillId="0" borderId="3" xfId="0" applyFont="1" applyBorder="1" applyAlignment="1">
      <alignment shrinkToFit="1"/>
    </xf>
    <xf numFmtId="6" fontId="12" fillId="2" borderId="3" xfId="0" applyNumberFormat="1" applyFont="1" applyFill="1" applyBorder="1" applyAlignment="1">
      <alignment horizontal="left" shrinkToFit="1"/>
    </xf>
    <xf numFmtId="6" fontId="12" fillId="2" borderId="0" xfId="0" applyNumberFormat="1" applyFont="1" applyFill="1" applyAlignment="1">
      <alignment horizontal="left" shrinkToFit="1"/>
    </xf>
    <xf numFmtId="0" fontId="12" fillId="0" borderId="18" xfId="0" applyFont="1" applyBorder="1" applyAlignment="1">
      <alignment shrinkToFit="1"/>
    </xf>
    <xf numFmtId="0" fontId="117" fillId="7" borderId="0" xfId="0" applyFont="1" applyFill="1" applyAlignment="1" applyProtection="1">
      <alignment shrinkToFit="1"/>
      <protection locked="0"/>
    </xf>
    <xf numFmtId="0" fontId="12" fillId="3" borderId="5" xfId="0" applyFont="1" applyFill="1" applyBorder="1" applyAlignment="1" applyProtection="1">
      <alignment shrinkToFit="1"/>
      <protection locked="0"/>
    </xf>
    <xf numFmtId="49" fontId="119" fillId="3" borderId="4" xfId="0" applyNumberFormat="1" applyFont="1" applyFill="1" applyBorder="1" applyAlignment="1" applyProtection="1">
      <alignment horizontal="left" shrinkToFit="1"/>
      <protection locked="0"/>
    </xf>
    <xf numFmtId="49" fontId="119" fillId="3" borderId="5" xfId="0" applyNumberFormat="1" applyFont="1" applyFill="1" applyBorder="1" applyAlignment="1" applyProtection="1">
      <alignment horizontal="left" shrinkToFit="1"/>
      <protection locked="0"/>
    </xf>
    <xf numFmtId="49" fontId="119" fillId="3" borderId="6" xfId="0" applyNumberFormat="1" applyFont="1" applyFill="1" applyBorder="1" applyAlignment="1" applyProtection="1">
      <alignment horizontal="left" shrinkToFit="1"/>
      <protection locked="0"/>
    </xf>
    <xf numFmtId="6" fontId="36" fillId="3" borderId="2" xfId="0" applyNumberFormat="1" applyFont="1" applyFill="1" applyBorder="1" applyAlignment="1" applyProtection="1">
      <alignment shrinkToFit="1"/>
      <protection locked="0"/>
    </xf>
    <xf numFmtId="6" fontId="36" fillId="3" borderId="16" xfId="0" applyNumberFormat="1" applyFont="1" applyFill="1" applyBorder="1" applyAlignment="1" applyProtection="1">
      <alignment shrinkToFit="1"/>
      <protection locked="0"/>
    </xf>
    <xf numFmtId="6" fontId="117" fillId="3" borderId="31" xfId="0" applyNumberFormat="1" applyFont="1" applyFill="1" applyBorder="1" applyAlignment="1" applyProtection="1">
      <alignment shrinkToFit="1"/>
      <protection locked="0"/>
    </xf>
    <xf numFmtId="6" fontId="10" fillId="0" borderId="0" xfId="0" applyNumberFormat="1" applyFont="1" applyAlignment="1">
      <alignment shrinkToFit="1"/>
    </xf>
    <xf numFmtId="6" fontId="10" fillId="0" borderId="0" xfId="0" applyNumberFormat="1" applyFont="1" applyAlignment="1">
      <alignment horizontal="right" shrinkToFit="1"/>
    </xf>
    <xf numFmtId="6" fontId="17" fillId="0" borderId="0" xfId="0" applyNumberFormat="1" applyFont="1" applyAlignment="1">
      <alignment shrinkToFit="1"/>
    </xf>
    <xf numFmtId="6" fontId="17" fillId="0" borderId="0" xfId="0" applyNumberFormat="1" applyFont="1" applyAlignment="1">
      <alignment horizontal="right" shrinkToFit="1"/>
    </xf>
    <xf numFmtId="164" fontId="36" fillId="2" borderId="2" xfId="7" applyNumberFormat="1" applyFont="1" applyFill="1" applyBorder="1" applyAlignment="1">
      <alignment horizontal="center" shrinkToFit="1"/>
    </xf>
    <xf numFmtId="164" fontId="119" fillId="2" borderId="2" xfId="7" applyNumberFormat="1" applyFont="1" applyFill="1" applyBorder="1" applyAlignment="1">
      <alignment horizontal="center" shrinkToFit="1"/>
    </xf>
    <xf numFmtId="0" fontId="12" fillId="0" borderId="0" xfId="0" applyFont="1" applyAlignment="1">
      <alignment horizontal="right"/>
    </xf>
    <xf numFmtId="6" fontId="12" fillId="0" borderId="0" xfId="0" applyNumberFormat="1" applyFont="1" applyAlignment="1">
      <alignment horizontal="right"/>
    </xf>
    <xf numFmtId="6" fontId="12" fillId="3" borderId="2" xfId="0" applyNumberFormat="1" applyFont="1" applyFill="1" applyBorder="1" applyAlignment="1" applyProtection="1">
      <alignment horizontal="right" indent="1" shrinkToFit="1"/>
      <protection locked="0"/>
    </xf>
    <xf numFmtId="6" fontId="12" fillId="0" borderId="2" xfId="0" applyNumberFormat="1" applyFont="1" applyBorder="1" applyAlignment="1">
      <alignment horizontal="right" indent="1" shrinkToFit="1"/>
    </xf>
    <xf numFmtId="6" fontId="43" fillId="0" borderId="0" xfId="0" applyNumberFormat="1" applyFont="1" applyAlignment="1">
      <alignment horizontal="right" indent="1" shrinkToFit="1"/>
    </xf>
    <xf numFmtId="6" fontId="12" fillId="3" borderId="5" xfId="0" applyNumberFormat="1" applyFont="1" applyFill="1" applyBorder="1" applyAlignment="1" applyProtection="1">
      <alignment horizontal="right" indent="1" shrinkToFit="1"/>
      <protection locked="0"/>
    </xf>
    <xf numFmtId="6" fontId="12" fillId="0" borderId="4" xfId="0" applyNumberFormat="1" applyFont="1" applyBorder="1" applyAlignment="1">
      <alignment horizontal="right" indent="1" shrinkToFit="1"/>
    </xf>
    <xf numFmtId="0" fontId="10" fillId="0" borderId="0" xfId="0" applyFont="1" applyAlignment="1">
      <alignment shrinkToFit="1"/>
    </xf>
    <xf numFmtId="0" fontId="12" fillId="0" borderId="0" xfId="0" applyFont="1" applyAlignment="1">
      <alignment horizontal="left" indent="1" shrinkToFit="1"/>
    </xf>
    <xf numFmtId="0" fontId="163" fillId="7" borderId="0" xfId="0" applyFont="1" applyFill="1" applyAlignment="1">
      <alignment horizontal="center" wrapText="1"/>
    </xf>
    <xf numFmtId="168" fontId="26" fillId="2" borderId="0" xfId="0" applyNumberFormat="1" applyFont="1" applyFill="1" applyAlignment="1">
      <alignment horizontal="left"/>
    </xf>
    <xf numFmtId="0" fontId="26" fillId="2" borderId="0" xfId="0" applyFont="1" applyFill="1" applyAlignment="1">
      <alignment horizontal="right" vertical="top"/>
    </xf>
    <xf numFmtId="0" fontId="26" fillId="2" borderId="0" xfId="0" applyFont="1" applyFill="1" applyAlignment="1">
      <alignment horizontal="left"/>
    </xf>
    <xf numFmtId="168" fontId="2" fillId="2" borderId="0" xfId="0" applyNumberFormat="1" applyFont="1" applyFill="1" applyAlignment="1">
      <alignment horizontal="left"/>
    </xf>
    <xf numFmtId="0" fontId="2" fillId="2" borderId="0" xfId="0" applyFont="1" applyFill="1" applyAlignment="1">
      <alignment horizontal="right" vertical="top"/>
    </xf>
    <xf numFmtId="0" fontId="2" fillId="2" borderId="0" xfId="0" applyFont="1" applyFill="1" applyAlignment="1">
      <alignment horizontal="left"/>
    </xf>
    <xf numFmtId="0" fontId="2" fillId="0" borderId="0" xfId="0" applyFont="1" applyAlignment="1">
      <alignment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0" xfId="0" applyFont="1" applyAlignment="1">
      <alignment horizontal="left" vertical="top" wrapText="1" indent="5"/>
    </xf>
    <xf numFmtId="0" fontId="26" fillId="0" borderId="0" xfId="0" applyFont="1" applyAlignment="1">
      <alignment wrapText="1"/>
    </xf>
    <xf numFmtId="0" fontId="26" fillId="0" borderId="0" xfId="0" applyFont="1" applyAlignment="1">
      <alignment horizontal="left" wrapText="1"/>
    </xf>
    <xf numFmtId="168" fontId="2" fillId="0" borderId="0" xfId="0" applyNumberFormat="1" applyFont="1" applyAlignment="1">
      <alignment wrapText="1"/>
    </xf>
    <xf numFmtId="0" fontId="2" fillId="0" borderId="0" xfId="0" applyFont="1" applyAlignment="1">
      <alignment horizontal="left" wrapText="1"/>
    </xf>
    <xf numFmtId="0" fontId="30" fillId="0" borderId="0" xfId="0" applyFont="1" applyAlignment="1">
      <alignment vertical="top" wrapText="1"/>
    </xf>
    <xf numFmtId="0" fontId="2" fillId="0" borderId="0" xfId="0" applyFont="1" applyAlignment="1">
      <alignment horizontal="left" vertical="top" wrapText="1"/>
    </xf>
    <xf numFmtId="0" fontId="30" fillId="0" borderId="0" xfId="0" applyFont="1" applyAlignment="1">
      <alignment horizontal="left" wrapText="1" indent="1"/>
    </xf>
    <xf numFmtId="0" fontId="110" fillId="2" borderId="0" xfId="0" applyFont="1" applyFill="1" applyAlignment="1">
      <alignment wrapText="1"/>
    </xf>
    <xf numFmtId="0" fontId="170" fillId="7" borderId="0" xfId="0" applyFont="1" applyFill="1"/>
    <xf numFmtId="168" fontId="2" fillId="0" borderId="0" xfId="0" applyNumberFormat="1" applyFont="1"/>
    <xf numFmtId="0" fontId="2" fillId="0" borderId="0" xfId="0" applyFont="1" applyAlignment="1">
      <alignment vertical="top"/>
    </xf>
    <xf numFmtId="0" fontId="26" fillId="0" borderId="0" xfId="0" applyFont="1" applyAlignment="1">
      <alignment vertical="top"/>
    </xf>
    <xf numFmtId="0" fontId="87" fillId="0" borderId="0" xfId="0" applyFont="1" applyAlignment="1">
      <alignment horizontal="center"/>
    </xf>
    <xf numFmtId="0" fontId="2" fillId="7" borderId="0" xfId="0" applyFont="1" applyFill="1" applyAlignment="1">
      <alignment horizontal="center" vertical="center" wrapText="1"/>
    </xf>
    <xf numFmtId="0" fontId="151" fillId="7" borderId="1" xfId="0" applyFont="1" applyFill="1" applyBorder="1" applyAlignment="1">
      <alignment horizontal="left" vertical="center" wrapText="1" indent="1" readingOrder="1"/>
    </xf>
    <xf numFmtId="0" fontId="2" fillId="7" borderId="0" xfId="0" applyFont="1" applyFill="1" applyAlignment="1">
      <alignment horizontal="center" wrapText="1"/>
    </xf>
    <xf numFmtId="0" fontId="80" fillId="7" borderId="3" xfId="0" applyFont="1" applyFill="1" applyBorder="1" applyAlignment="1" applyProtection="1">
      <alignment horizontal="left" indent="1"/>
      <protection locked="0"/>
    </xf>
    <xf numFmtId="6" fontId="117" fillId="7" borderId="2" xfId="0" applyNumberFormat="1" applyFont="1" applyFill="1" applyBorder="1" applyAlignment="1">
      <alignment horizontal="center"/>
    </xf>
    <xf numFmtId="6" fontId="149" fillId="7" borderId="2" xfId="0" applyNumberFormat="1" applyFont="1" applyFill="1" applyBorder="1" applyAlignment="1">
      <alignment horizontal="center"/>
    </xf>
    <xf numFmtId="6" fontId="30" fillId="0" borderId="16" xfId="0" applyNumberFormat="1" applyFont="1" applyBorder="1" applyAlignment="1">
      <alignment horizontal="right"/>
    </xf>
    <xf numFmtId="6" fontId="30" fillId="0" borderId="9" xfId="0" applyNumberFormat="1" applyFont="1" applyBorder="1" applyAlignment="1">
      <alignment horizontal="center"/>
    </xf>
    <xf numFmtId="165" fontId="2" fillId="7" borderId="6" xfId="0" applyNumberFormat="1" applyFont="1" applyFill="1" applyBorder="1" applyAlignment="1">
      <alignment horizontal="right"/>
    </xf>
    <xf numFmtId="9" fontId="1" fillId="7" borderId="0" xfId="0" applyNumberFormat="1" applyFont="1" applyFill="1" applyAlignment="1">
      <alignment horizontal="center"/>
    </xf>
    <xf numFmtId="9" fontId="12" fillId="7" borderId="0" xfId="0" applyNumberFormat="1" applyFont="1" applyFill="1"/>
    <xf numFmtId="14" fontId="2" fillId="6" borderId="0" xfId="6" applyNumberFormat="1" applyFont="1" applyFill="1" applyAlignment="1">
      <alignment horizontal="left"/>
    </xf>
    <xf numFmtId="49" fontId="26" fillId="5" borderId="1" xfId="2" applyNumberFormat="1" applyFont="1" applyFill="1" applyBorder="1" applyAlignment="1" applyProtection="1">
      <alignment horizontal="right" indent="2"/>
    </xf>
    <xf numFmtId="165" fontId="26" fillId="3" borderId="1" xfId="2" applyNumberFormat="1" applyFont="1" applyFill="1" applyBorder="1" applyAlignment="1" applyProtection="1">
      <alignment horizontal="right" indent="2"/>
    </xf>
    <xf numFmtId="165" fontId="26" fillId="5" borderId="1" xfId="2" applyNumberFormat="1" applyFont="1" applyFill="1" applyBorder="1" applyAlignment="1" applyProtection="1">
      <alignment horizontal="right" indent="2"/>
    </xf>
    <xf numFmtId="0" fontId="2" fillId="9" borderId="1" xfId="0" applyFont="1" applyFill="1" applyBorder="1" applyAlignment="1" applyProtection="1">
      <alignment horizontal="center"/>
      <protection locked="0"/>
    </xf>
    <xf numFmtId="0" fontId="1" fillId="3" borderId="2"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165" fontId="1" fillId="3" borderId="2" xfId="0" applyNumberFormat="1" applyFont="1" applyFill="1" applyBorder="1" applyAlignment="1" applyProtection="1">
      <alignment horizontal="center"/>
      <protection locked="0"/>
    </xf>
    <xf numFmtId="165" fontId="1" fillId="3" borderId="4" xfId="0" applyNumberFormat="1" applyFont="1" applyFill="1" applyBorder="1" applyAlignment="1" applyProtection="1">
      <alignment horizontal="center"/>
      <protection locked="0"/>
    </xf>
    <xf numFmtId="0" fontId="1" fillId="0" borderId="2" xfId="0" applyFont="1" applyBorder="1" applyAlignment="1">
      <alignment horizontal="center" vertical="center"/>
    </xf>
    <xf numFmtId="0" fontId="1" fillId="4" borderId="2" xfId="0" applyFont="1" applyFill="1" applyBorder="1" applyAlignment="1">
      <alignment horizontal="center"/>
    </xf>
    <xf numFmtId="0" fontId="1" fillId="3" borderId="2" xfId="0" applyFont="1" applyFill="1" applyBorder="1" applyAlignment="1" applyProtection="1">
      <alignment horizontal="left" shrinkToFit="1"/>
      <protection locked="0"/>
    </xf>
    <xf numFmtId="0" fontId="33" fillId="2" borderId="4" xfId="0" applyFont="1" applyFill="1" applyBorder="1" applyAlignment="1">
      <alignment horizontal="center" vertical="center"/>
    </xf>
    <xf numFmtId="14" fontId="30" fillId="9" borderId="1" xfId="0" applyNumberFormat="1" applyFont="1" applyFill="1" applyBorder="1" applyAlignment="1">
      <alignment horizontal="center"/>
    </xf>
    <xf numFmtId="0" fontId="30" fillId="2" borderId="1" xfId="0" applyFont="1" applyFill="1" applyBorder="1" applyProtection="1">
      <protection locked="0"/>
    </xf>
    <xf numFmtId="165" fontId="1" fillId="9" borderId="17" xfId="0" applyNumberFormat="1" applyFont="1" applyFill="1" applyBorder="1" applyAlignment="1" applyProtection="1">
      <alignment horizontal="center" vertical="center"/>
      <protection locked="0"/>
    </xf>
    <xf numFmtId="165" fontId="1" fillId="9" borderId="16" xfId="0" applyNumberFormat="1" applyFont="1" applyFill="1" applyBorder="1" applyAlignment="1" applyProtection="1">
      <alignment horizontal="center" vertical="center"/>
      <protection locked="0"/>
    </xf>
    <xf numFmtId="165" fontId="1" fillId="9" borderId="9" xfId="0" applyNumberFormat="1" applyFont="1" applyFill="1" applyBorder="1" applyAlignment="1" applyProtection="1">
      <alignment horizontal="center" vertical="center"/>
      <protection locked="0"/>
    </xf>
    <xf numFmtId="165" fontId="1" fillId="9" borderId="7" xfId="0" applyNumberFormat="1" applyFont="1" applyFill="1" applyBorder="1" applyAlignment="1" applyProtection="1">
      <alignment horizontal="center" vertical="center"/>
      <protection locked="0"/>
    </xf>
    <xf numFmtId="165" fontId="1" fillId="9" borderId="4" xfId="0" applyNumberFormat="1" applyFont="1" applyFill="1" applyBorder="1" applyAlignment="1" applyProtection="1">
      <alignment horizontal="center" vertical="center"/>
      <protection locked="0"/>
    </xf>
    <xf numFmtId="165" fontId="1" fillId="9" borderId="2" xfId="0" applyNumberFormat="1" applyFont="1" applyFill="1" applyBorder="1" applyAlignment="1" applyProtection="1">
      <alignment horizontal="center" vertical="center"/>
      <protection locked="0"/>
    </xf>
    <xf numFmtId="165" fontId="33" fillId="9" borderId="17" xfId="0" applyNumberFormat="1" applyFont="1" applyFill="1" applyBorder="1" applyAlignment="1" applyProtection="1">
      <alignment horizontal="center" vertical="center"/>
      <protection locked="0"/>
    </xf>
    <xf numFmtId="165" fontId="33" fillId="9" borderId="16" xfId="0" applyNumberFormat="1" applyFont="1" applyFill="1" applyBorder="1" applyAlignment="1" applyProtection="1">
      <alignment horizontal="center" vertical="center"/>
      <protection locked="0"/>
    </xf>
    <xf numFmtId="165" fontId="33" fillId="9" borderId="9" xfId="0" applyNumberFormat="1" applyFont="1" applyFill="1" applyBorder="1" applyAlignment="1" applyProtection="1">
      <alignment horizontal="center" vertical="center"/>
      <protection locked="0"/>
    </xf>
    <xf numFmtId="165" fontId="33" fillId="9" borderId="7" xfId="0" applyNumberFormat="1" applyFont="1" applyFill="1" applyBorder="1" applyAlignment="1" applyProtection="1">
      <alignment horizontal="center" vertical="center"/>
      <protection locked="0"/>
    </xf>
    <xf numFmtId="165" fontId="33" fillId="9" borderId="4" xfId="0" applyNumberFormat="1" applyFont="1" applyFill="1" applyBorder="1" applyAlignment="1" applyProtection="1">
      <alignment horizontal="center" vertical="center"/>
      <protection locked="0"/>
    </xf>
    <xf numFmtId="165" fontId="33" fillId="9" borderId="2" xfId="0" applyNumberFormat="1" applyFont="1" applyFill="1" applyBorder="1" applyAlignment="1" applyProtection="1">
      <alignment horizontal="center" vertical="center"/>
      <protection locked="0"/>
    </xf>
    <xf numFmtId="165" fontId="2" fillId="9" borderId="7" xfId="0" applyNumberFormat="1" applyFont="1" applyFill="1" applyBorder="1" applyAlignment="1" applyProtection="1">
      <alignment horizontal="center" vertical="center"/>
      <protection locked="0"/>
    </xf>
    <xf numFmtId="165" fontId="2" fillId="9" borderId="9" xfId="0" applyNumberFormat="1" applyFont="1" applyFill="1" applyBorder="1" applyAlignment="1" applyProtection="1">
      <alignment horizontal="center" vertical="center"/>
      <protection locked="0"/>
    </xf>
    <xf numFmtId="49" fontId="55" fillId="7" borderId="0" xfId="0" applyNumberFormat="1" applyFont="1" applyFill="1" applyAlignment="1">
      <alignment horizontal="center"/>
    </xf>
    <xf numFmtId="0" fontId="0" fillId="7" borderId="17" xfId="0" applyFill="1" applyBorder="1"/>
    <xf numFmtId="0" fontId="12" fillId="7" borderId="17" xfId="0" applyFont="1" applyFill="1" applyBorder="1"/>
    <xf numFmtId="0" fontId="2" fillId="7" borderId="17" xfId="0" applyFont="1" applyFill="1" applyBorder="1"/>
    <xf numFmtId="0" fontId="16" fillId="7" borderId="17" xfId="0" applyFont="1" applyFill="1" applyBorder="1"/>
    <xf numFmtId="0" fontId="3" fillId="7" borderId="17" xfId="0" applyFont="1" applyFill="1" applyBorder="1"/>
    <xf numFmtId="6" fontId="12" fillId="7" borderId="17" xfId="0" applyNumberFormat="1" applyFont="1" applyFill="1" applyBorder="1"/>
    <xf numFmtId="0" fontId="2" fillId="7" borderId="17" xfId="0" applyFont="1" applyFill="1" applyBorder="1" applyAlignment="1">
      <alignment horizontal="center" wrapText="1"/>
    </xf>
    <xf numFmtId="6" fontId="12" fillId="7" borderId="17" xfId="0" applyNumberFormat="1" applyFont="1" applyFill="1" applyBorder="1" applyAlignment="1">
      <alignment horizontal="center"/>
    </xf>
    <xf numFmtId="0" fontId="12" fillId="7" borderId="17" xfId="0" applyFont="1" applyFill="1" applyBorder="1" applyAlignment="1">
      <alignment horizontal="center"/>
    </xf>
    <xf numFmtId="0" fontId="174" fillId="0" borderId="0" xfId="0" applyFont="1" applyAlignment="1">
      <alignment horizontal="center"/>
    </xf>
    <xf numFmtId="0" fontId="173" fillId="0" borderId="0" xfId="0" applyFont="1"/>
    <xf numFmtId="0" fontId="173" fillId="0" borderId="27" xfId="0" applyFont="1" applyBorder="1" applyAlignment="1">
      <alignment horizontal="center" vertical="center"/>
    </xf>
    <xf numFmtId="0" fontId="0" fillId="0" borderId="43" xfId="0" applyBorder="1"/>
    <xf numFmtId="0" fontId="0" fillId="13" borderId="45" xfId="0" applyFill="1" applyBorder="1" applyProtection="1">
      <protection locked="0"/>
    </xf>
    <xf numFmtId="0" fontId="173" fillId="0" borderId="41" xfId="0" applyFont="1" applyBorder="1" applyAlignment="1">
      <alignment horizontal="center" vertical="center" wrapText="1"/>
    </xf>
    <xf numFmtId="0" fontId="0" fillId="13" borderId="46" xfId="0" applyFill="1" applyBorder="1" applyProtection="1">
      <protection locked="0"/>
    </xf>
    <xf numFmtId="0" fontId="3" fillId="13" borderId="45" xfId="0" applyFont="1" applyFill="1" applyBorder="1" applyAlignment="1" applyProtection="1">
      <alignment wrapText="1"/>
      <protection locked="0"/>
    </xf>
    <xf numFmtId="0" fontId="3" fillId="0" borderId="47" xfId="0" applyFont="1" applyBorder="1" applyAlignment="1">
      <alignment vertical="center" wrapText="1"/>
    </xf>
    <xf numFmtId="44" fontId="3" fillId="0" borderId="6" xfId="2" applyFont="1" applyFill="1" applyBorder="1" applyAlignment="1" applyProtection="1">
      <alignment horizontal="center" vertical="center" wrapText="1"/>
    </xf>
    <xf numFmtId="0" fontId="3" fillId="0" borderId="48" xfId="0" applyFont="1" applyBorder="1" applyAlignment="1">
      <alignment horizontal="center" vertical="center" wrapText="1"/>
    </xf>
    <xf numFmtId="0" fontId="175" fillId="0" borderId="0" xfId="0" applyFont="1" applyAlignment="1">
      <alignment horizontal="left"/>
    </xf>
    <xf numFmtId="0" fontId="173" fillId="0" borderId="43" xfId="0" applyFont="1" applyBorder="1" applyAlignment="1" applyProtection="1">
      <alignment horizontal="center" vertical="center" wrapText="1"/>
      <protection locked="0"/>
    </xf>
    <xf numFmtId="0" fontId="173" fillId="0" borderId="43" xfId="0" applyFont="1" applyBorder="1" applyAlignment="1" applyProtection="1">
      <alignment vertical="center" wrapText="1"/>
      <protection locked="0"/>
    </xf>
    <xf numFmtId="0" fontId="173" fillId="0" borderId="2" xfId="0" applyFont="1" applyBorder="1" applyAlignment="1">
      <alignment horizontal="center" vertical="center"/>
    </xf>
    <xf numFmtId="0" fontId="173" fillId="0" borderId="41" xfId="0" applyFont="1" applyBorder="1" applyAlignment="1">
      <alignment vertical="center" wrapText="1"/>
    </xf>
    <xf numFmtId="0" fontId="173" fillId="0" borderId="42" xfId="0" applyFont="1" applyBorder="1" applyAlignment="1">
      <alignment vertical="center" wrapText="1"/>
    </xf>
    <xf numFmtId="0" fontId="173" fillId="0" borderId="19" xfId="0" applyFont="1" applyBorder="1" applyAlignment="1">
      <alignment horizontal="center" vertical="center" wrapText="1"/>
    </xf>
    <xf numFmtId="0" fontId="173" fillId="0" borderId="19" xfId="0" applyFont="1" applyBorder="1" applyAlignment="1">
      <alignment horizontal="right" vertical="center" wrapText="1"/>
    </xf>
    <xf numFmtId="0" fontId="0" fillId="0" borderId="44" xfId="0" applyBorder="1" applyAlignment="1">
      <alignment vertical="center" wrapText="1"/>
    </xf>
    <xf numFmtId="0" fontId="0" fillId="0" borderId="23" xfId="0" applyBorder="1" applyAlignment="1">
      <alignment horizontal="center" vertical="center" wrapText="1"/>
    </xf>
    <xf numFmtId="44" fontId="0" fillId="0" borderId="23" xfId="2" applyFont="1" applyFill="1" applyBorder="1" applyAlignment="1" applyProtection="1">
      <alignment horizontal="center" vertical="center" wrapText="1"/>
    </xf>
    <xf numFmtId="44" fontId="0" fillId="0" borderId="11" xfId="2" applyFont="1" applyFill="1" applyBorder="1" applyAlignment="1" applyProtection="1">
      <alignment horizontal="right" vertical="center" wrapText="1"/>
    </xf>
    <xf numFmtId="0" fontId="0" fillId="0" borderId="42" xfId="0" applyBorder="1"/>
    <xf numFmtId="0" fontId="173" fillId="0" borderId="45" xfId="0" applyFont="1" applyBorder="1" applyAlignment="1">
      <alignment horizontal="right" vertical="center"/>
    </xf>
    <xf numFmtId="0" fontId="173" fillId="0" borderId="42" xfId="0" applyFont="1" applyBorder="1" applyAlignment="1">
      <alignment horizontal="center" vertical="center" wrapText="1"/>
    </xf>
    <xf numFmtId="0" fontId="173" fillId="0" borderId="45" xfId="0" applyFont="1" applyBorder="1" applyAlignment="1">
      <alignment horizontal="center" vertical="center" wrapText="1"/>
    </xf>
    <xf numFmtId="1" fontId="0" fillId="0" borderId="45" xfId="0" applyNumberFormat="1" applyBorder="1" applyAlignment="1">
      <alignment horizontal="center" vertical="center" wrapText="1"/>
    </xf>
    <xf numFmtId="1" fontId="0" fillId="0" borderId="23" xfId="0" applyNumberFormat="1" applyBorder="1" applyAlignment="1">
      <alignment horizontal="center" vertical="center" wrapText="1"/>
    </xf>
    <xf numFmtId="0" fontId="0" fillId="0" borderId="25" xfId="0" applyBorder="1" applyAlignment="1">
      <alignment horizontal="left" vertical="center"/>
    </xf>
    <xf numFmtId="0" fontId="0" fillId="0" borderId="27" xfId="0" applyBorder="1" applyAlignment="1">
      <alignment horizontal="left" vertical="center" wrapText="1"/>
    </xf>
    <xf numFmtId="9" fontId="0" fillId="0" borderId="20" xfId="0" applyNumberFormat="1" applyBorder="1" applyAlignment="1">
      <alignment horizontal="right" vertical="center" wrapText="1"/>
    </xf>
    <xf numFmtId="0" fontId="0" fillId="0" borderId="23" xfId="2" applyNumberFormat="1" applyFont="1" applyFill="1" applyBorder="1" applyAlignment="1" applyProtection="1">
      <alignment horizontal="center" vertical="center" wrapText="1"/>
    </xf>
    <xf numFmtId="44" fontId="0" fillId="0" borderId="23" xfId="2" applyFont="1" applyFill="1" applyBorder="1" applyAlignment="1" applyProtection="1">
      <alignment horizontal="right" vertical="center" wrapText="1"/>
    </xf>
    <xf numFmtId="0" fontId="0" fillId="0" borderId="42" xfId="0" applyBorder="1" applyAlignment="1">
      <alignment vertical="center" wrapText="1"/>
    </xf>
    <xf numFmtId="0" fontId="0" fillId="0" borderId="19" xfId="0" applyBorder="1" applyAlignment="1">
      <alignment vertical="center" wrapText="1"/>
    </xf>
    <xf numFmtId="0" fontId="0" fillId="0" borderId="43" xfId="0" applyBorder="1" applyAlignment="1">
      <alignment vertical="center" wrapText="1"/>
    </xf>
    <xf numFmtId="0" fontId="0" fillId="0" borderId="42" xfId="0" applyBorder="1" applyAlignment="1">
      <alignment horizontal="right" vertical="center" wrapText="1"/>
    </xf>
    <xf numFmtId="0" fontId="0" fillId="0" borderId="42" xfId="0" applyBorder="1" applyAlignment="1">
      <alignment horizontal="right" vertical="center"/>
    </xf>
    <xf numFmtId="0" fontId="0" fillId="0" borderId="45" xfId="0"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right" vertical="center"/>
    </xf>
    <xf numFmtId="44" fontId="3" fillId="0" borderId="26" xfId="0" applyNumberFormat="1" applyFont="1" applyBorder="1" applyAlignment="1">
      <alignment horizontal="center" vertical="center" wrapText="1"/>
    </xf>
    <xf numFmtId="0" fontId="176" fillId="0" borderId="42" xfId="0" applyFont="1" applyBorder="1" applyAlignment="1">
      <alignment horizontal="center" vertical="center" wrapText="1"/>
    </xf>
    <xf numFmtId="0" fontId="176" fillId="0" borderId="19" xfId="0" applyFont="1" applyBorder="1" applyAlignment="1">
      <alignment horizontal="center" vertical="center" wrapText="1"/>
    </xf>
    <xf numFmtId="0" fontId="176" fillId="0" borderId="19" xfId="0" applyFont="1" applyBorder="1" applyAlignment="1">
      <alignment horizontal="right" vertical="center"/>
    </xf>
    <xf numFmtId="44" fontId="176" fillId="0" borderId="19" xfId="0" applyNumberFormat="1" applyFont="1" applyBorder="1" applyAlignment="1">
      <alignment horizontal="center" vertical="center" wrapText="1"/>
    </xf>
    <xf numFmtId="1" fontId="0" fillId="0" borderId="5" xfId="0" applyNumberFormat="1" applyBorder="1" applyAlignment="1">
      <alignment horizontal="center"/>
    </xf>
    <xf numFmtId="0" fontId="0" fillId="0" borderId="1" xfId="0" applyBorder="1" applyAlignment="1" applyProtection="1">
      <alignment horizontal="left"/>
      <protection locked="0"/>
    </xf>
    <xf numFmtId="0" fontId="3" fillId="13" borderId="45" xfId="0" applyFont="1" applyFill="1" applyBorder="1" applyProtection="1">
      <protection locked="0"/>
    </xf>
    <xf numFmtId="0" fontId="1" fillId="0" borderId="0" xfId="0" applyFont="1" applyAlignment="1" applyProtection="1">
      <alignment horizontal="center"/>
      <protection locked="0"/>
    </xf>
    <xf numFmtId="6" fontId="1" fillId="0" borderId="0" xfId="0" applyNumberFormat="1" applyFont="1" applyAlignment="1">
      <alignment horizontal="center"/>
    </xf>
    <xf numFmtId="0" fontId="2" fillId="9" borderId="1" xfId="0" applyFont="1" applyFill="1" applyBorder="1" applyAlignment="1" applyProtection="1">
      <alignment shrinkToFit="1"/>
      <protection locked="0"/>
    </xf>
    <xf numFmtId="0" fontId="2" fillId="7" borderId="0" xfId="0" applyFont="1" applyFill="1" applyAlignment="1" applyProtection="1">
      <alignment shrinkToFit="1"/>
      <protection locked="0"/>
    </xf>
    <xf numFmtId="0" fontId="26" fillId="7" borderId="1" xfId="0" applyFont="1" applyFill="1" applyBorder="1" applyAlignment="1">
      <alignment horizontal="right"/>
    </xf>
    <xf numFmtId="0" fontId="2" fillId="9" borderId="1" xfId="0" applyFont="1" applyFill="1" applyBorder="1" applyAlignment="1">
      <alignment horizontal="left" indent="1"/>
    </xf>
    <xf numFmtId="0" fontId="2" fillId="9" borderId="5" xfId="0" applyFont="1" applyFill="1" applyBorder="1"/>
    <xf numFmtId="0" fontId="3" fillId="7" borderId="5" xfId="0" applyFont="1" applyFill="1" applyBorder="1" applyAlignment="1">
      <alignment horizontal="left" indent="1"/>
    </xf>
    <xf numFmtId="0" fontId="2" fillId="9" borderId="1" xfId="0" applyFont="1" applyFill="1" applyBorder="1" applyProtection="1">
      <protection locked="0"/>
    </xf>
    <xf numFmtId="0" fontId="2" fillId="9" borderId="5" xfId="0" applyFont="1" applyFill="1" applyBorder="1" applyProtection="1">
      <protection locked="0"/>
    </xf>
    <xf numFmtId="0" fontId="2" fillId="9" borderId="5" xfId="0" applyFont="1" applyFill="1" applyBorder="1" applyAlignment="1">
      <alignment horizontal="left" indent="1"/>
    </xf>
    <xf numFmtId="0" fontId="0" fillId="7" borderId="1" xfId="0" applyFill="1" applyBorder="1"/>
    <xf numFmtId="0" fontId="2" fillId="7" borderId="1" xfId="0" applyFont="1" applyFill="1" applyBorder="1" applyAlignment="1">
      <alignment horizontal="right"/>
    </xf>
    <xf numFmtId="0" fontId="2" fillId="7" borderId="5" xfId="0" applyFont="1" applyFill="1" applyBorder="1" applyAlignment="1">
      <alignment horizontal="right"/>
    </xf>
    <xf numFmtId="3" fontId="2" fillId="9" borderId="5" xfId="1" applyNumberFormat="1" applyFont="1" applyFill="1" applyBorder="1" applyAlignment="1" applyProtection="1">
      <alignment horizontal="left" indent="1"/>
    </xf>
    <xf numFmtId="0" fontId="2" fillId="7" borderId="5" xfId="0" applyFont="1" applyFill="1" applyBorder="1"/>
    <xf numFmtId="1" fontId="2" fillId="7" borderId="5" xfId="0" applyNumberFormat="1" applyFont="1" applyFill="1" applyBorder="1" applyAlignment="1">
      <alignment horizontal="left" indent="1"/>
    </xf>
    <xf numFmtId="0" fontId="2" fillId="7" borderId="0" xfId="0" applyFont="1" applyFill="1" applyProtection="1">
      <protection locked="0"/>
    </xf>
    <xf numFmtId="0" fontId="108" fillId="7" borderId="0" xfId="0" applyFont="1" applyFill="1" applyAlignment="1">
      <alignment vertical="center" wrapText="1" shrinkToFit="1"/>
    </xf>
    <xf numFmtId="6" fontId="117" fillId="11" borderId="2" xfId="0" applyNumberFormat="1" applyFont="1" applyFill="1" applyBorder="1" applyAlignment="1" applyProtection="1">
      <alignment horizontal="right" indent="1" shrinkToFit="1"/>
      <protection locked="0"/>
    </xf>
    <xf numFmtId="10" fontId="117" fillId="11" borderId="2" xfId="0" applyNumberFormat="1" applyFont="1" applyFill="1" applyBorder="1" applyAlignment="1" applyProtection="1">
      <alignment horizontal="center"/>
      <protection locked="0"/>
    </xf>
    <xf numFmtId="1" fontId="117" fillId="11" borderId="4" xfId="0" applyNumberFormat="1" applyFont="1" applyFill="1" applyBorder="1" applyAlignment="1" applyProtection="1">
      <alignment horizontal="center"/>
      <protection locked="0"/>
    </xf>
    <xf numFmtId="0" fontId="117" fillId="11" borderId="4" xfId="0" applyFont="1" applyFill="1" applyBorder="1" applyAlignment="1" applyProtection="1">
      <alignment horizontal="center"/>
      <protection locked="0"/>
    </xf>
    <xf numFmtId="165" fontId="117" fillId="11" borderId="4" xfId="0" applyNumberFormat="1" applyFont="1" applyFill="1" applyBorder="1" applyAlignment="1" applyProtection="1">
      <alignment horizontal="center" vertical="center"/>
      <protection locked="0"/>
    </xf>
    <xf numFmtId="0" fontId="16" fillId="0" borderId="1" xfId="0" applyFont="1" applyBorder="1"/>
    <xf numFmtId="1" fontId="12" fillId="3" borderId="2" xfId="0" applyNumberFormat="1" applyFont="1" applyFill="1" applyBorder="1" applyAlignment="1" applyProtection="1">
      <alignment horizontal="center"/>
      <protection locked="0"/>
    </xf>
    <xf numFmtId="1" fontId="16" fillId="11" borderId="2" xfId="0" applyNumberFormat="1" applyFont="1" applyFill="1" applyBorder="1" applyAlignment="1" applyProtection="1">
      <alignment horizontal="center"/>
      <protection locked="0"/>
    </xf>
    <xf numFmtId="1" fontId="117" fillId="9" borderId="2" xfId="0" applyNumberFormat="1" applyFont="1" applyFill="1" applyBorder="1" applyAlignment="1">
      <alignment horizontal="center"/>
    </xf>
    <xf numFmtId="0" fontId="178" fillId="0" borderId="0" xfId="0" applyFont="1"/>
    <xf numFmtId="0" fontId="178" fillId="0" borderId="0" xfId="0" applyFont="1" applyAlignment="1">
      <alignment horizontal="left" vertical="top"/>
    </xf>
    <xf numFmtId="1" fontId="16" fillId="9" borderId="2" xfId="0" applyNumberFormat="1" applyFont="1" applyFill="1" applyBorder="1" applyAlignment="1" applyProtection="1">
      <alignment horizontal="center"/>
      <protection locked="0"/>
    </xf>
    <xf numFmtId="6" fontId="117" fillId="3" borderId="6" xfId="0" applyNumberFormat="1" applyFont="1" applyFill="1" applyBorder="1" applyAlignment="1" applyProtection="1">
      <alignment horizontal="right" indent="1" shrinkToFit="1"/>
      <protection locked="0"/>
    </xf>
    <xf numFmtId="0" fontId="142" fillId="7" borderId="8" xfId="0" applyFont="1" applyFill="1" applyBorder="1" applyAlignment="1" applyProtection="1">
      <alignment horizontal="left" shrinkToFit="1"/>
      <protection locked="0"/>
    </xf>
    <xf numFmtId="0" fontId="142" fillId="7" borderId="6" xfId="0" applyFont="1" applyFill="1" applyBorder="1" applyAlignment="1" applyProtection="1">
      <alignment horizontal="left" shrinkToFit="1"/>
      <protection locked="0"/>
    </xf>
    <xf numFmtId="0" fontId="3" fillId="7" borderId="7" xfId="0" applyFont="1" applyFill="1" applyBorder="1" applyAlignment="1" applyProtection="1">
      <alignment horizontal="left" shrinkToFit="1"/>
      <protection locked="0"/>
    </xf>
    <xf numFmtId="0" fontId="3" fillId="7" borderId="4" xfId="0" applyFont="1" applyFill="1" applyBorder="1" applyAlignment="1" applyProtection="1">
      <alignment horizontal="left" shrinkToFit="1"/>
      <protection locked="0"/>
    </xf>
    <xf numFmtId="49" fontId="29" fillId="3" borderId="2" xfId="0" applyNumberFormat="1" applyFont="1" applyFill="1" applyBorder="1" applyAlignment="1" applyProtection="1">
      <alignment horizontal="center" shrinkToFit="1"/>
      <protection locked="0"/>
    </xf>
    <xf numFmtId="6" fontId="12" fillId="0" borderId="6" xfId="0" applyNumberFormat="1" applyFont="1" applyBorder="1"/>
    <xf numFmtId="0" fontId="12" fillId="7" borderId="0" xfId="0" applyFont="1" applyFill="1" applyAlignment="1">
      <alignment shrinkToFit="1"/>
    </xf>
    <xf numFmtId="1" fontId="16" fillId="11" borderId="6" xfId="0" applyNumberFormat="1" applyFont="1" applyFill="1" applyBorder="1" applyAlignment="1" applyProtection="1">
      <alignment horizontal="center"/>
      <protection locked="0"/>
    </xf>
    <xf numFmtId="1" fontId="16" fillId="9" borderId="6" xfId="0" applyNumberFormat="1" applyFont="1" applyFill="1" applyBorder="1" applyAlignment="1" applyProtection="1">
      <alignment horizontal="center"/>
      <protection locked="0"/>
    </xf>
    <xf numFmtId="1" fontId="12" fillId="9" borderId="6" xfId="0" applyNumberFormat="1" applyFont="1" applyFill="1" applyBorder="1" applyAlignment="1" applyProtection="1">
      <alignment horizontal="center"/>
      <protection locked="0"/>
    </xf>
    <xf numFmtId="49" fontId="29" fillId="11" borderId="2" xfId="0" applyNumberFormat="1" applyFont="1" applyFill="1" applyBorder="1" applyAlignment="1" applyProtection="1">
      <alignment horizontal="center" shrinkToFit="1"/>
      <protection locked="0"/>
    </xf>
    <xf numFmtId="49" fontId="29" fillId="9" borderId="2" xfId="0" applyNumberFormat="1" applyFont="1" applyFill="1" applyBorder="1" applyAlignment="1" applyProtection="1">
      <alignment horizontal="center" shrinkToFit="1"/>
      <protection locked="0"/>
    </xf>
    <xf numFmtId="6" fontId="43" fillId="0" borderId="0" xfId="0" applyNumberFormat="1" applyFont="1" applyAlignment="1">
      <alignment shrinkToFit="1"/>
    </xf>
    <xf numFmtId="0" fontId="10" fillId="0" borderId="1" xfId="0" applyFont="1" applyBorder="1" applyAlignment="1">
      <alignment shrinkToFit="1"/>
    </xf>
    <xf numFmtId="6" fontId="10" fillId="0" borderId="1" xfId="0" applyNumberFormat="1" applyFont="1" applyBorder="1" applyAlignment="1">
      <alignment shrinkToFit="1"/>
    </xf>
    <xf numFmtId="6" fontId="10" fillId="0" borderId="1" xfId="0" applyNumberFormat="1" applyFont="1" applyBorder="1" applyAlignment="1">
      <alignment horizontal="right" shrinkToFit="1"/>
    </xf>
    <xf numFmtId="6" fontId="117" fillId="7" borderId="31" xfId="0" applyNumberFormat="1" applyFont="1" applyFill="1" applyBorder="1" applyAlignment="1">
      <alignment shrinkToFit="1"/>
    </xf>
    <xf numFmtId="6" fontId="108" fillId="2" borderId="0" xfId="0" applyNumberFormat="1" applyFont="1" applyFill="1" applyAlignment="1">
      <alignment vertical="center"/>
    </xf>
    <xf numFmtId="6" fontId="86" fillId="2" borderId="0" xfId="0" applyNumberFormat="1" applyFont="1" applyFill="1" applyAlignment="1">
      <alignment vertical="center" shrinkToFit="1"/>
    </xf>
    <xf numFmtId="164" fontId="86" fillId="2" borderId="0" xfId="7" applyNumberFormat="1" applyFont="1" applyFill="1" applyBorder="1" applyAlignment="1">
      <alignment horizontal="right" shrinkToFit="1"/>
    </xf>
    <xf numFmtId="0" fontId="145" fillId="0" borderId="0" xfId="0" applyFont="1" applyAlignment="1">
      <alignment vertical="center"/>
    </xf>
    <xf numFmtId="0" fontId="145" fillId="0" borderId="18" xfId="0" applyFont="1" applyBorder="1" applyAlignment="1">
      <alignment vertical="center"/>
    </xf>
    <xf numFmtId="0" fontId="145" fillId="0" borderId="1" xfId="0" applyFont="1" applyBorder="1" applyAlignment="1">
      <alignment vertical="center"/>
    </xf>
    <xf numFmtId="0" fontId="145" fillId="0" borderId="8" xfId="0" applyFont="1" applyBorder="1" applyAlignment="1">
      <alignment vertical="center"/>
    </xf>
    <xf numFmtId="0" fontId="178" fillId="2" borderId="0" xfId="0" applyFont="1" applyFill="1" applyAlignment="1">
      <alignment vertical="center"/>
    </xf>
    <xf numFmtId="6" fontId="179" fillId="2" borderId="0" xfId="0" applyNumberFormat="1" applyFont="1" applyFill="1" applyAlignment="1">
      <alignment vertical="center"/>
    </xf>
    <xf numFmtId="0" fontId="6" fillId="2" borderId="0" xfId="0" applyFont="1" applyFill="1" applyAlignment="1">
      <alignment vertical="center"/>
    </xf>
    <xf numFmtId="6" fontId="108" fillId="2" borderId="0" xfId="0" applyNumberFormat="1" applyFont="1" applyFill="1" applyAlignment="1">
      <alignment horizontal="left" vertical="center"/>
    </xf>
    <xf numFmtId="6" fontId="87" fillId="2" borderId="0" xfId="0" applyNumberFormat="1" applyFont="1" applyFill="1" applyAlignment="1">
      <alignment vertical="center" shrinkToFit="1"/>
    </xf>
    <xf numFmtId="164" fontId="87" fillId="2" borderId="0" xfId="7" applyNumberFormat="1" applyFont="1" applyFill="1" applyBorder="1" applyAlignment="1">
      <alignment horizontal="right" shrinkToFit="1"/>
    </xf>
    <xf numFmtId="6" fontId="181" fillId="2" borderId="0" xfId="0" applyNumberFormat="1" applyFont="1" applyFill="1" applyAlignment="1">
      <alignment horizontal="right"/>
    </xf>
    <xf numFmtId="6" fontId="181" fillId="2" borderId="0" xfId="0" applyNumberFormat="1" applyFont="1" applyFill="1" applyAlignment="1">
      <alignment shrinkToFit="1"/>
    </xf>
    <xf numFmtId="164" fontId="182" fillId="2" borderId="0" xfId="7" applyNumberFormat="1" applyFont="1" applyFill="1" applyBorder="1" applyAlignment="1">
      <alignment horizontal="center" shrinkToFit="1"/>
    </xf>
    <xf numFmtId="0" fontId="16" fillId="7" borderId="18" xfId="0" applyFont="1" applyFill="1" applyBorder="1" applyProtection="1">
      <protection locked="0"/>
    </xf>
    <xf numFmtId="37" fontId="26" fillId="0" borderId="0" xfId="0" applyNumberFormat="1" applyFont="1" applyAlignment="1">
      <alignment horizontal="left" indent="1"/>
    </xf>
    <xf numFmtId="165" fontId="2" fillId="9" borderId="4" xfId="0" applyNumberFormat="1" applyFont="1" applyFill="1" applyBorder="1" applyAlignment="1" applyProtection="1">
      <alignment horizontal="center" vertical="center"/>
      <protection locked="0"/>
    </xf>
    <xf numFmtId="165" fontId="2" fillId="9" borderId="2" xfId="0" applyNumberFormat="1" applyFont="1" applyFill="1" applyBorder="1" applyAlignment="1" applyProtection="1">
      <alignment horizontal="center" vertical="center"/>
      <protection locked="0"/>
    </xf>
    <xf numFmtId="0" fontId="183" fillId="0" borderId="3" xfId="0" applyFont="1" applyBorder="1" applyAlignment="1">
      <alignment horizontal="left" indent="2"/>
    </xf>
    <xf numFmtId="3" fontId="12" fillId="0" borderId="2" xfId="1" applyNumberFormat="1" applyFont="1" applyBorder="1" applyAlignment="1">
      <alignment horizontal="center"/>
    </xf>
    <xf numFmtId="0" fontId="140" fillId="7" borderId="0" xfId="0" applyFont="1" applyFill="1" applyAlignment="1">
      <alignment horizontal="left"/>
    </xf>
    <xf numFmtId="0" fontId="1" fillId="7" borderId="0" xfId="0" applyFont="1" applyFill="1" applyAlignment="1">
      <alignment horizontal="left"/>
    </xf>
    <xf numFmtId="165" fontId="54" fillId="3" borderId="2" xfId="2" applyNumberFormat="1" applyFont="1" applyFill="1" applyBorder="1" applyAlignment="1" applyProtection="1">
      <alignment horizontal="right" indent="2"/>
    </xf>
    <xf numFmtId="171" fontId="2" fillId="2" borderId="10" xfId="1" applyNumberFormat="1" applyFont="1" applyFill="1" applyBorder="1" applyProtection="1"/>
    <xf numFmtId="172" fontId="26" fillId="2" borderId="16" xfId="5" applyFont="1" applyFill="1" applyBorder="1" applyAlignment="1">
      <alignment horizontal="center"/>
    </xf>
    <xf numFmtId="172" fontId="26" fillId="2" borderId="9" xfId="5" applyFont="1" applyFill="1" applyBorder="1" applyAlignment="1">
      <alignment horizontal="center"/>
    </xf>
    <xf numFmtId="165" fontId="65" fillId="2" borderId="9" xfId="2" applyNumberFormat="1" applyFont="1" applyFill="1" applyBorder="1" applyAlignment="1" applyProtection="1">
      <alignment horizontal="right"/>
    </xf>
    <xf numFmtId="165" fontId="2" fillId="3" borderId="2" xfId="2" applyNumberFormat="1" applyFont="1" applyFill="1" applyBorder="1" applyAlignment="1" applyProtection="1">
      <alignment horizontal="right" indent="2"/>
    </xf>
    <xf numFmtId="165" fontId="2" fillId="5" borderId="2" xfId="2" applyNumberFormat="1" applyFont="1" applyFill="1" applyBorder="1" applyAlignment="1" applyProtection="1">
      <alignment horizontal="right" indent="2"/>
    </xf>
    <xf numFmtId="165" fontId="54" fillId="5" borderId="2" xfId="2" applyNumberFormat="1" applyFont="1" applyFill="1" applyBorder="1" applyAlignment="1" applyProtection="1">
      <alignment horizontal="right" indent="2"/>
    </xf>
    <xf numFmtId="49" fontId="2" fillId="5" borderId="4" xfId="2" applyNumberFormat="1" applyFont="1" applyFill="1" applyBorder="1" applyAlignment="1" applyProtection="1">
      <alignment horizontal="right" indent="2"/>
    </xf>
    <xf numFmtId="49" fontId="54" fillId="5" borderId="4" xfId="2" applyNumberFormat="1" applyFont="1" applyFill="1" applyBorder="1" applyAlignment="1" applyProtection="1">
      <alignment horizontal="right" indent="2"/>
    </xf>
    <xf numFmtId="171" fontId="26" fillId="2" borderId="10" xfId="1" applyNumberFormat="1" applyFont="1" applyFill="1" applyBorder="1" applyAlignment="1" applyProtection="1">
      <alignment horizontal="center"/>
    </xf>
    <xf numFmtId="171" fontId="26" fillId="2" borderId="9" xfId="1" applyNumberFormat="1" applyFont="1" applyFill="1" applyBorder="1" applyAlignment="1" applyProtection="1">
      <alignment horizontal="center"/>
    </xf>
    <xf numFmtId="165" fontId="65" fillId="2" borderId="9" xfId="2" applyNumberFormat="1" applyFont="1" applyFill="1" applyBorder="1" applyAlignment="1" applyProtection="1"/>
    <xf numFmtId="171" fontId="1" fillId="2" borderId="10" xfId="1" applyNumberFormat="1" applyFont="1" applyFill="1" applyBorder="1" applyAlignment="1" applyProtection="1">
      <alignment horizontal="center"/>
    </xf>
    <xf numFmtId="171" fontId="1" fillId="2" borderId="9" xfId="1" applyNumberFormat="1" applyFont="1" applyFill="1" applyBorder="1" applyAlignment="1" applyProtection="1">
      <alignment horizontal="center"/>
    </xf>
    <xf numFmtId="165" fontId="1" fillId="3" borderId="2" xfId="2" applyNumberFormat="1" applyFont="1" applyFill="1" applyBorder="1" applyAlignment="1" applyProtection="1">
      <alignment horizontal="right" indent="2"/>
    </xf>
    <xf numFmtId="165" fontId="62" fillId="2" borderId="9" xfId="2" applyNumberFormat="1" applyFont="1" applyFill="1" applyBorder="1" applyAlignment="1" applyProtection="1"/>
    <xf numFmtId="171" fontId="2" fillId="2" borderId="0" xfId="1" applyNumberFormat="1" applyFont="1" applyFill="1" applyAlignment="1" applyProtection="1"/>
    <xf numFmtId="0" fontId="142" fillId="2" borderId="0" xfId="0" applyFont="1" applyFill="1" applyAlignment="1">
      <alignment horizontal="left" wrapText="1"/>
    </xf>
    <xf numFmtId="0" fontId="1" fillId="0" borderId="0" xfId="0" applyFont="1" applyAlignment="1">
      <alignment horizontal="left" wrapText="1"/>
    </xf>
    <xf numFmtId="0" fontId="1" fillId="0" borderId="0" xfId="0" applyFont="1" applyAlignment="1">
      <alignment vertical="top" wrapText="1"/>
    </xf>
    <xf numFmtId="0" fontId="1" fillId="2" borderId="0" xfId="0" applyFont="1" applyFill="1" applyAlignment="1">
      <alignment horizontal="right" wrapText="1"/>
    </xf>
    <xf numFmtId="0" fontId="185" fillId="2" borderId="0" xfId="14" applyFont="1" applyFill="1" applyAlignment="1">
      <alignment horizontal="left" wrapText="1"/>
    </xf>
    <xf numFmtId="0" fontId="110" fillId="0" borderId="0" xfId="0" applyFont="1" applyAlignment="1">
      <alignment horizontal="left" indent="2"/>
    </xf>
    <xf numFmtId="0" fontId="1" fillId="0" borderId="0" xfId="0" applyFont="1" applyAlignment="1">
      <alignment horizontal="left"/>
    </xf>
    <xf numFmtId="0" fontId="1" fillId="0" borderId="0" xfId="0" applyFont="1" applyAlignment="1">
      <alignment wrapText="1"/>
    </xf>
    <xf numFmtId="0" fontId="166" fillId="7" borderId="0" xfId="0" applyFont="1" applyFill="1" applyAlignment="1">
      <alignment horizontal="center" wrapText="1"/>
    </xf>
    <xf numFmtId="0" fontId="142" fillId="0" borderId="0" xfId="0" applyFont="1" applyAlignment="1">
      <alignment horizontal="left" wrapText="1"/>
    </xf>
    <xf numFmtId="0" fontId="169" fillId="0" borderId="0" xfId="0" applyFont="1" applyAlignment="1">
      <alignment horizontal="left" wrapText="1"/>
    </xf>
    <xf numFmtId="0" fontId="26" fillId="0" borderId="0" xfId="0" applyFont="1" applyAlignment="1">
      <alignment horizontal="left" wrapText="1"/>
    </xf>
    <xf numFmtId="0" fontId="2" fillId="0" borderId="0" xfId="0" applyFont="1" applyAlignment="1">
      <alignment horizontal="center" wrapText="1"/>
    </xf>
    <xf numFmtId="168" fontId="2" fillId="0" borderId="0" xfId="0" applyNumberFormat="1" applyFont="1" applyAlignment="1">
      <alignment wrapText="1"/>
    </xf>
    <xf numFmtId="0" fontId="2" fillId="0" borderId="0" xfId="0" applyFont="1" applyAlignment="1">
      <alignment wrapText="1"/>
    </xf>
    <xf numFmtId="0" fontId="142" fillId="2" borderId="0" xfId="0" applyFont="1" applyFill="1" applyAlignment="1">
      <alignment horizontal="left" wrapText="1"/>
    </xf>
    <xf numFmtId="0" fontId="142" fillId="7" borderId="0" xfId="0" applyFont="1" applyFill="1" applyAlignment="1">
      <alignment horizontal="center"/>
    </xf>
    <xf numFmtId="0" fontId="16" fillId="7" borderId="25" xfId="0" applyFont="1" applyFill="1" applyBorder="1" applyAlignment="1">
      <alignment horizontal="center"/>
    </xf>
    <xf numFmtId="0" fontId="16" fillId="7" borderId="27" xfId="0" applyFont="1" applyFill="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165" fontId="2" fillId="6" borderId="0" xfId="0" applyNumberFormat="1" applyFont="1" applyFill="1" applyAlignment="1">
      <alignment horizontal="center"/>
    </xf>
    <xf numFmtId="165" fontId="2" fillId="6" borderId="20" xfId="0" applyNumberFormat="1" applyFont="1" applyFill="1" applyBorder="1" applyAlignment="1">
      <alignment horizontal="center"/>
    </xf>
    <xf numFmtId="165" fontId="2" fillId="6" borderId="11" xfId="0" applyNumberFormat="1" applyFont="1" applyFill="1" applyBorder="1" applyAlignment="1">
      <alignment horizontal="center"/>
    </xf>
    <xf numFmtId="165" fontId="2" fillId="6" borderId="23" xfId="0" applyNumberFormat="1" applyFont="1" applyFill="1" applyBorder="1" applyAlignment="1">
      <alignment horizontal="center"/>
    </xf>
    <xf numFmtId="9" fontId="148" fillId="7" borderId="4" xfId="0" applyNumberFormat="1" applyFont="1" applyFill="1" applyBorder="1" applyAlignment="1">
      <alignment horizontal="center" vertical="center" shrinkToFit="1" readingOrder="1"/>
    </xf>
    <xf numFmtId="9" fontId="148" fillId="7" borderId="6" xfId="0" applyNumberFormat="1" applyFont="1" applyFill="1" applyBorder="1" applyAlignment="1">
      <alignment horizontal="center" vertical="center" shrinkToFit="1" readingOrder="1"/>
    </xf>
    <xf numFmtId="9" fontId="148" fillId="7" borderId="5" xfId="0" applyNumberFormat="1" applyFont="1" applyFill="1" applyBorder="1" applyAlignment="1">
      <alignment horizontal="center" vertical="center" shrinkToFit="1" readingOrder="1"/>
    </xf>
    <xf numFmtId="0" fontId="151" fillId="7" borderId="15" xfId="0" applyFont="1" applyFill="1" applyBorder="1" applyAlignment="1">
      <alignment horizontal="left" vertical="center" wrapText="1" indent="1" readingOrder="1"/>
    </xf>
    <xf numFmtId="0" fontId="151" fillId="7" borderId="3" xfId="0" applyFont="1" applyFill="1" applyBorder="1" applyAlignment="1">
      <alignment horizontal="left" vertical="center" wrapText="1" indent="1" readingOrder="1"/>
    </xf>
    <xf numFmtId="0" fontId="151" fillId="7" borderId="24" xfId="0" applyFont="1" applyFill="1" applyBorder="1" applyAlignment="1">
      <alignment horizontal="left" vertical="center" wrapText="1" indent="1" readingOrder="1"/>
    </xf>
    <xf numFmtId="0" fontId="151" fillId="7" borderId="7" xfId="0" applyFont="1" applyFill="1" applyBorder="1" applyAlignment="1">
      <alignment horizontal="left" vertical="center" wrapText="1" indent="1" readingOrder="1"/>
    </xf>
    <xf numFmtId="0" fontId="151" fillId="7" borderId="1" xfId="0" applyFont="1" applyFill="1" applyBorder="1" applyAlignment="1">
      <alignment horizontal="left" vertical="center" wrapText="1" indent="1" readingOrder="1"/>
    </xf>
    <xf numFmtId="0" fontId="151" fillId="7" borderId="8" xfId="0" applyFont="1" applyFill="1" applyBorder="1" applyAlignment="1">
      <alignment horizontal="left" vertical="center" wrapText="1" indent="1" readingOrder="1"/>
    </xf>
    <xf numFmtId="0" fontId="16" fillId="7" borderId="25" xfId="0" applyFont="1" applyFill="1" applyBorder="1" applyAlignment="1">
      <alignment horizontal="center" vertical="center"/>
    </xf>
    <xf numFmtId="0" fontId="16" fillId="7" borderId="26" xfId="0" applyFont="1" applyFill="1" applyBorder="1" applyAlignment="1">
      <alignment horizontal="center" vertical="center"/>
    </xf>
    <xf numFmtId="0" fontId="16" fillId="7" borderId="27" xfId="0" applyFont="1" applyFill="1" applyBorder="1" applyAlignment="1">
      <alignment horizontal="center" vertical="center"/>
    </xf>
    <xf numFmtId="0" fontId="16" fillId="7" borderId="25" xfId="0" applyFont="1" applyFill="1" applyBorder="1" applyAlignment="1">
      <alignment horizontal="center" vertical="center" shrinkToFit="1"/>
    </xf>
    <xf numFmtId="0" fontId="16" fillId="7" borderId="26"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9" fontId="148" fillId="7" borderId="15" xfId="0" applyNumberFormat="1" applyFont="1" applyFill="1" applyBorder="1" applyAlignment="1">
      <alignment horizontal="center" vertical="center" wrapText="1" readingOrder="1"/>
    </xf>
    <xf numFmtId="9" fontId="148" fillId="7" borderId="24" xfId="0" applyNumberFormat="1" applyFont="1" applyFill="1" applyBorder="1" applyAlignment="1">
      <alignment horizontal="center" vertical="center" wrapText="1" readingOrder="1"/>
    </xf>
    <xf numFmtId="9" fontId="148" fillId="7" borderId="7" xfId="0" applyNumberFormat="1" applyFont="1" applyFill="1" applyBorder="1" applyAlignment="1">
      <alignment horizontal="center" vertical="center" wrapText="1" readingOrder="1"/>
    </xf>
    <xf numFmtId="9" fontId="148" fillId="7" borderId="8" xfId="0" applyNumberFormat="1" applyFont="1" applyFill="1" applyBorder="1" applyAlignment="1">
      <alignment horizontal="center" vertical="center" wrapText="1" readingOrder="1"/>
    </xf>
    <xf numFmtId="0" fontId="151" fillId="7" borderId="17" xfId="0" applyFont="1" applyFill="1" applyBorder="1" applyAlignment="1">
      <alignment horizontal="left" vertical="center" wrapText="1" indent="1" readingOrder="1"/>
    </xf>
    <xf numFmtId="0" fontId="151" fillId="7" borderId="0" xfId="0" applyFont="1" applyFill="1" applyAlignment="1">
      <alignment horizontal="left" vertical="center" wrapText="1" indent="1" readingOrder="1"/>
    </xf>
    <xf numFmtId="0" fontId="151" fillId="7" borderId="18" xfId="0" applyFont="1" applyFill="1" applyBorder="1" applyAlignment="1">
      <alignment horizontal="left" vertical="center" wrapText="1" indent="1" readingOrder="1"/>
    </xf>
    <xf numFmtId="0" fontId="146" fillId="7" borderId="0" xfId="0" applyFont="1" applyFill="1" applyAlignment="1">
      <alignment horizontal="center"/>
    </xf>
    <xf numFmtId="0" fontId="2" fillId="7" borderId="0" xfId="0" applyFont="1" applyFill="1" applyAlignment="1">
      <alignment horizontal="center"/>
    </xf>
    <xf numFmtId="0" fontId="2" fillId="7" borderId="0" xfId="0" applyFont="1" applyFill="1" applyAlignment="1">
      <alignment horizontal="center" wrapText="1"/>
    </xf>
    <xf numFmtId="0" fontId="2" fillId="7" borderId="1" xfId="0" applyFont="1" applyFill="1" applyBorder="1" applyAlignment="1">
      <alignment horizontal="center" wrapText="1"/>
    </xf>
    <xf numFmtId="0" fontId="2" fillId="7" borderId="1" xfId="0" applyFont="1" applyFill="1" applyBorder="1" applyAlignment="1">
      <alignment horizontal="center" vertical="center"/>
    </xf>
    <xf numFmtId="165" fontId="12" fillId="7" borderId="4" xfId="2" applyNumberFormat="1" applyFont="1" applyFill="1" applyBorder="1" applyAlignment="1" applyProtection="1">
      <alignment horizontal="center" vertical="center" readingOrder="1"/>
    </xf>
    <xf numFmtId="165" fontId="12" fillId="7" borderId="6" xfId="2" applyNumberFormat="1" applyFont="1" applyFill="1" applyBorder="1" applyAlignment="1" applyProtection="1">
      <alignment horizontal="center" vertical="center" readingOrder="1"/>
    </xf>
    <xf numFmtId="0" fontId="151" fillId="7" borderId="4" xfId="0" applyFont="1" applyFill="1" applyBorder="1" applyAlignment="1">
      <alignment horizontal="left" vertical="center" wrapText="1" readingOrder="1"/>
    </xf>
    <xf numFmtId="0" fontId="151" fillId="7" borderId="5" xfId="0" applyFont="1" applyFill="1" applyBorder="1" applyAlignment="1">
      <alignment horizontal="left" vertical="center" wrapText="1" readingOrder="1"/>
    </xf>
    <xf numFmtId="0" fontId="151" fillId="7" borderId="6" xfId="0" applyFont="1" applyFill="1" applyBorder="1" applyAlignment="1">
      <alignment horizontal="left" vertical="center" wrapText="1" readingOrder="1"/>
    </xf>
    <xf numFmtId="0" fontId="42" fillId="2" borderId="0" xfId="0" applyFont="1" applyFill="1" applyAlignment="1">
      <alignment horizontal="right"/>
    </xf>
    <xf numFmtId="9" fontId="148" fillId="7" borderId="17" xfId="0" applyNumberFormat="1" applyFont="1" applyFill="1" applyBorder="1" applyAlignment="1">
      <alignment horizontal="center" vertical="center" wrapText="1" readingOrder="1"/>
    </xf>
    <xf numFmtId="9" fontId="148" fillId="7" borderId="18" xfId="0" applyNumberFormat="1" applyFont="1" applyFill="1" applyBorder="1" applyAlignment="1">
      <alignment horizontal="center" vertical="center" wrapText="1" readingOrder="1"/>
    </xf>
    <xf numFmtId="0" fontId="139" fillId="7" borderId="5" xfId="0" applyFont="1" applyFill="1" applyBorder="1" applyAlignment="1">
      <alignment horizontal="center" shrinkToFit="1" readingOrder="1"/>
    </xf>
    <xf numFmtId="0" fontId="167" fillId="2" borderId="28" xfId="0" applyFont="1" applyFill="1" applyBorder="1" applyAlignment="1">
      <alignment horizontal="left" vertical="center" wrapText="1"/>
    </xf>
    <xf numFmtId="0" fontId="33" fillId="6" borderId="36" xfId="0" applyFont="1" applyFill="1" applyBorder="1" applyAlignment="1" applyProtection="1">
      <alignment horizontal="left" vertical="center" wrapText="1"/>
      <protection locked="0"/>
    </xf>
    <xf numFmtId="0" fontId="141" fillId="2" borderId="0" xfId="0" applyFont="1" applyFill="1" applyAlignment="1">
      <alignment horizontal="left" vertical="center" wrapText="1" indent="2"/>
    </xf>
    <xf numFmtId="0" fontId="33" fillId="6" borderId="32" xfId="0" applyFont="1" applyFill="1" applyBorder="1" applyAlignment="1" applyProtection="1">
      <alignment horizontal="left" vertical="center" wrapText="1"/>
      <protection locked="0"/>
    </xf>
    <xf numFmtId="0" fontId="1" fillId="9" borderId="2" xfId="0" applyFont="1" applyFill="1" applyBorder="1" applyAlignment="1" applyProtection="1">
      <alignment horizontal="left" vertical="center" wrapText="1"/>
      <protection locked="0"/>
    </xf>
    <xf numFmtId="0" fontId="2" fillId="9" borderId="2" xfId="0" applyFont="1" applyFill="1" applyBorder="1" applyAlignment="1" applyProtection="1">
      <alignment horizontal="left" vertical="center" wrapText="1"/>
      <protection locked="0"/>
    </xf>
    <xf numFmtId="0" fontId="167" fillId="2" borderId="0" xfId="0" applyFont="1" applyFill="1" applyAlignment="1">
      <alignment horizontal="left" vertical="center" wrapText="1"/>
    </xf>
    <xf numFmtId="0" fontId="141" fillId="2" borderId="32" xfId="0" applyFont="1" applyFill="1" applyBorder="1" applyAlignment="1">
      <alignment horizontal="left" vertical="center" wrapText="1" indent="2"/>
    </xf>
    <xf numFmtId="0" fontId="167" fillId="2" borderId="36" xfId="0" applyFont="1" applyFill="1" applyBorder="1" applyAlignment="1">
      <alignment horizontal="left" vertical="center" wrapText="1"/>
    </xf>
    <xf numFmtId="0" fontId="1" fillId="7" borderId="1" xfId="0" applyFont="1" applyFill="1" applyBorder="1" applyAlignment="1">
      <alignment horizontal="right"/>
    </xf>
    <xf numFmtId="0" fontId="1" fillId="7" borderId="5" xfId="0" applyFont="1" applyFill="1" applyBorder="1" applyAlignment="1">
      <alignment horizontal="right"/>
    </xf>
    <xf numFmtId="0" fontId="26" fillId="7" borderId="5" xfId="0" applyFont="1" applyFill="1" applyBorder="1" applyAlignment="1">
      <alignment horizontal="right"/>
    </xf>
    <xf numFmtId="0" fontId="1" fillId="7" borderId="0" xfId="0" applyFont="1" applyFill="1" applyAlignment="1">
      <alignment horizontal="center"/>
    </xf>
    <xf numFmtId="0" fontId="29" fillId="7" borderId="0" xfId="0" applyFont="1" applyFill="1" applyAlignment="1">
      <alignment horizontal="center" wrapText="1"/>
    </xf>
    <xf numFmtId="0" fontId="29" fillId="7" borderId="1" xfId="0" applyFont="1" applyFill="1" applyBorder="1" applyAlignment="1">
      <alignment horizontal="center" wrapText="1"/>
    </xf>
    <xf numFmtId="0" fontId="72" fillId="7" borderId="0" xfId="0" applyFont="1" applyFill="1" applyAlignment="1">
      <alignment horizontal="left" wrapText="1"/>
    </xf>
    <xf numFmtId="0" fontId="72" fillId="7" borderId="1" xfId="0" applyFont="1" applyFill="1" applyBorder="1" applyAlignment="1">
      <alignment horizontal="left" wrapText="1"/>
    </xf>
    <xf numFmtId="0" fontId="29" fillId="7" borderId="0" xfId="0" applyFont="1" applyFill="1" applyAlignment="1">
      <alignment horizontal="center" vertical="center" wrapText="1"/>
    </xf>
    <xf numFmtId="0" fontId="29" fillId="7" borderId="1" xfId="0" applyFont="1" applyFill="1" applyBorder="1" applyAlignment="1">
      <alignment horizontal="center" vertical="center" wrapText="1"/>
    </xf>
    <xf numFmtId="0" fontId="163" fillId="7" borderId="5" xfId="0" applyFont="1" applyFill="1" applyBorder="1" applyAlignment="1">
      <alignment horizontal="center"/>
    </xf>
    <xf numFmtId="0" fontId="26" fillId="7" borderId="1" xfId="0" applyFont="1" applyFill="1" applyBorder="1" applyAlignment="1">
      <alignment horizontal="right"/>
    </xf>
    <xf numFmtId="165" fontId="127" fillId="7" borderId="5" xfId="0" applyNumberFormat="1" applyFont="1" applyFill="1" applyBorder="1" applyAlignment="1">
      <alignment horizontal="center"/>
    </xf>
    <xf numFmtId="0" fontId="1" fillId="7" borderId="3" xfId="0" applyFont="1" applyFill="1" applyBorder="1" applyAlignment="1">
      <alignment horizontal="right"/>
    </xf>
    <xf numFmtId="0" fontId="126" fillId="7" borderId="0" xfId="0" applyFont="1" applyFill="1" applyAlignment="1">
      <alignment horizontal="center" vertical="center"/>
    </xf>
    <xf numFmtId="0" fontId="26" fillId="7" borderId="5" xfId="0" applyFont="1" applyFill="1" applyBorder="1"/>
    <xf numFmtId="0" fontId="2" fillId="9" borderId="5" xfId="0" applyFont="1" applyFill="1" applyBorder="1" applyAlignment="1" applyProtection="1">
      <alignment horizontal="center" shrinkToFit="1"/>
      <protection locked="0"/>
    </xf>
    <xf numFmtId="0" fontId="1" fillId="9" borderId="1" xfId="0" applyFont="1" applyFill="1" applyBorder="1" applyAlignment="1">
      <alignment horizontal="center"/>
    </xf>
    <xf numFmtId="0" fontId="2" fillId="9" borderId="5" xfId="0" applyFont="1" applyFill="1" applyBorder="1" applyAlignment="1">
      <alignment horizontal="center"/>
    </xf>
    <xf numFmtId="0" fontId="144" fillId="2" borderId="32" xfId="0" applyFont="1" applyFill="1" applyBorder="1" applyAlignment="1">
      <alignment horizontal="left" vertical="center" wrapText="1"/>
    </xf>
    <xf numFmtId="0" fontId="139" fillId="7" borderId="0" xfId="0" applyFont="1" applyFill="1" applyAlignment="1">
      <alignment horizontal="center" vertical="top" shrinkToFit="1"/>
    </xf>
    <xf numFmtId="0" fontId="130" fillId="7" borderId="0" xfId="0" applyFont="1" applyFill="1" applyAlignment="1">
      <alignment horizontal="center" vertical="center"/>
    </xf>
    <xf numFmtId="0" fontId="1" fillId="11" borderId="33" xfId="0" applyFont="1" applyFill="1" applyBorder="1" applyAlignment="1" applyProtection="1">
      <alignment horizontal="center" vertical="center"/>
      <protection locked="0"/>
    </xf>
    <xf numFmtId="0" fontId="2" fillId="11" borderId="33" xfId="0" applyFont="1" applyFill="1" applyBorder="1" applyAlignment="1" applyProtection="1">
      <alignment horizontal="center" vertical="center"/>
      <protection locked="0"/>
    </xf>
    <xf numFmtId="0" fontId="1" fillId="11" borderId="34" xfId="0" applyFont="1" applyFill="1" applyBorder="1" applyAlignment="1" applyProtection="1">
      <alignment horizontal="center" vertical="center"/>
      <protection locked="0"/>
    </xf>
    <xf numFmtId="0" fontId="2" fillId="11" borderId="35" xfId="0" applyFont="1" applyFill="1" applyBorder="1" applyAlignment="1" applyProtection="1">
      <alignment horizontal="center" vertical="center"/>
      <protection locked="0"/>
    </xf>
    <xf numFmtId="0" fontId="110" fillId="6" borderId="32"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shrinkToFit="1"/>
      <protection locked="0"/>
    </xf>
    <xf numFmtId="0" fontId="12" fillId="3" borderId="8" xfId="0" applyFont="1" applyFill="1" applyBorder="1" applyAlignment="1" applyProtection="1">
      <alignment horizontal="left" shrinkToFit="1"/>
      <protection locked="0"/>
    </xf>
    <xf numFmtId="0" fontId="12" fillId="0" borderId="0" xfId="0" applyFont="1" applyAlignment="1">
      <alignment horizontal="left" shrinkToFit="1"/>
    </xf>
    <xf numFmtId="0" fontId="12" fillId="0" borderId="18" xfId="0" applyFont="1" applyBorder="1" applyAlignment="1">
      <alignment horizontal="left" shrinkToFit="1"/>
    </xf>
    <xf numFmtId="0" fontId="1" fillId="3" borderId="15" xfId="0" applyFont="1" applyFill="1" applyBorder="1" applyAlignment="1" applyProtection="1">
      <alignment horizontal="left" vertical="center" wrapText="1" indent="1"/>
      <protection locked="0"/>
    </xf>
    <xf numFmtId="0" fontId="2" fillId="3" borderId="24" xfId="0" applyFont="1" applyFill="1" applyBorder="1" applyAlignment="1" applyProtection="1">
      <alignment horizontal="left" vertical="center" wrapText="1" indent="1"/>
      <protection locked="0"/>
    </xf>
    <xf numFmtId="0" fontId="2" fillId="3" borderId="17" xfId="0" applyFont="1" applyFill="1" applyBorder="1" applyAlignment="1" applyProtection="1">
      <alignment horizontal="left" vertical="center" wrapText="1" indent="1"/>
      <protection locked="0"/>
    </xf>
    <xf numFmtId="0" fontId="2" fillId="3" borderId="18" xfId="0" applyFont="1" applyFill="1" applyBorder="1" applyAlignment="1" applyProtection="1">
      <alignment horizontal="left" vertical="center" wrapText="1" indent="1"/>
      <protection locked="0"/>
    </xf>
    <xf numFmtId="0" fontId="2" fillId="3" borderId="7" xfId="0" applyFont="1" applyFill="1" applyBorder="1" applyAlignment="1" applyProtection="1">
      <alignment horizontal="left" vertical="center" wrapText="1" indent="1"/>
      <protection locked="0"/>
    </xf>
    <xf numFmtId="0" fontId="2" fillId="3" borderId="8" xfId="0" applyFont="1" applyFill="1" applyBorder="1" applyAlignment="1" applyProtection="1">
      <alignment horizontal="left" vertical="center" wrapText="1" indent="1"/>
      <protection locked="0"/>
    </xf>
    <xf numFmtId="49" fontId="12" fillId="3" borderId="4" xfId="0" applyNumberFormat="1" applyFont="1" applyFill="1" applyBorder="1" applyAlignment="1" applyProtection="1">
      <alignment horizontal="left" shrinkToFit="1"/>
      <protection locked="0"/>
    </xf>
    <xf numFmtId="49" fontId="12" fillId="3" borderId="5" xfId="0" applyNumberFormat="1" applyFont="1" applyFill="1" applyBorder="1" applyAlignment="1" applyProtection="1">
      <alignment horizontal="left" shrinkToFit="1"/>
      <protection locked="0"/>
    </xf>
    <xf numFmtId="49" fontId="12" fillId="3" borderId="6" xfId="0" applyNumberFormat="1" applyFont="1" applyFill="1" applyBorder="1" applyAlignment="1" applyProtection="1">
      <alignment horizontal="left" shrinkToFit="1"/>
      <protection locked="0"/>
    </xf>
    <xf numFmtId="0" fontId="163" fillId="7" borderId="0" xfId="0" applyFont="1" applyFill="1" applyAlignment="1">
      <alignment horizontal="center" wrapText="1"/>
    </xf>
    <xf numFmtId="0" fontId="163" fillId="7" borderId="1" xfId="0" applyFont="1" applyFill="1" applyBorder="1" applyAlignment="1">
      <alignment horizontal="center" wrapText="1"/>
    </xf>
    <xf numFmtId="0" fontId="26" fillId="0" borderId="0" xfId="0" applyFont="1" applyAlignment="1">
      <alignment horizontal="center" wrapText="1"/>
    </xf>
    <xf numFmtId="0" fontId="26" fillId="0" borderId="1" xfId="0" applyFont="1" applyBorder="1" applyAlignment="1">
      <alignment horizontal="center" wrapText="1"/>
    </xf>
    <xf numFmtId="49" fontId="30" fillId="3" borderId="4" xfId="0" applyNumberFormat="1" applyFont="1" applyFill="1" applyBorder="1" applyAlignment="1" applyProtection="1">
      <alignment horizontal="left" shrinkToFit="1"/>
      <protection locked="0"/>
    </xf>
    <xf numFmtId="49" fontId="30" fillId="3" borderId="5" xfId="0" applyNumberFormat="1" applyFont="1" applyFill="1" applyBorder="1" applyAlignment="1" applyProtection="1">
      <alignment horizontal="left" shrinkToFit="1"/>
      <protection locked="0"/>
    </xf>
    <xf numFmtId="49" fontId="30" fillId="3" borderId="6" xfId="0" applyNumberFormat="1" applyFont="1" applyFill="1" applyBorder="1" applyAlignment="1" applyProtection="1">
      <alignment horizontal="left" shrinkToFit="1"/>
      <protection locked="0"/>
    </xf>
    <xf numFmtId="0" fontId="49" fillId="12" borderId="0" xfId="0" applyFont="1" applyFill="1" applyAlignment="1">
      <alignment horizontal="center" wrapText="1"/>
    </xf>
    <xf numFmtId="0" fontId="49" fillId="12" borderId="1" xfId="0" applyFont="1" applyFill="1" applyBorder="1" applyAlignment="1">
      <alignment horizontal="center" wrapText="1"/>
    </xf>
    <xf numFmtId="0" fontId="28" fillId="0" borderId="0" xfId="0" applyFont="1" applyAlignment="1">
      <alignment horizontal="left" wrapText="1"/>
    </xf>
    <xf numFmtId="0" fontId="2" fillId="9" borderId="4" xfId="0" applyFont="1" applyFill="1" applyBorder="1" applyAlignment="1" applyProtection="1">
      <alignment wrapText="1"/>
      <protection locked="0"/>
    </xf>
    <xf numFmtId="0" fontId="2" fillId="9" borderId="6" xfId="0" applyFont="1" applyFill="1" applyBorder="1" applyAlignment="1" applyProtection="1">
      <alignment wrapText="1"/>
      <protection locked="0"/>
    </xf>
    <xf numFmtId="0" fontId="16" fillId="0" borderId="2" xfId="0" applyFont="1" applyBorder="1" applyAlignment="1">
      <alignment horizontal="center" vertical="center" wrapText="1"/>
    </xf>
    <xf numFmtId="0" fontId="12" fillId="7" borderId="1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35" fillId="0" borderId="10" xfId="0" applyFont="1" applyBorder="1" applyAlignment="1">
      <alignment horizontal="center"/>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2" fillId="7" borderId="18"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0" borderId="0" xfId="0" applyFont="1" applyAlignment="1">
      <alignment horizontal="center" wrapText="1"/>
    </xf>
    <xf numFmtId="0" fontId="30" fillId="0" borderId="17" xfId="0" applyFont="1" applyBorder="1" applyAlignment="1">
      <alignment horizontal="center" wrapText="1"/>
    </xf>
    <xf numFmtId="0" fontId="30" fillId="0" borderId="0" xfId="0" applyFont="1" applyAlignment="1">
      <alignment horizontal="center" wrapText="1"/>
    </xf>
    <xf numFmtId="0" fontId="3" fillId="0" borderId="0" xfId="0" applyFont="1" applyAlignment="1">
      <alignment horizontal="left"/>
    </xf>
    <xf numFmtId="0" fontId="3" fillId="0" borderId="0" xfId="0" applyFont="1" applyAlignment="1">
      <alignment horizontal="right"/>
    </xf>
    <xf numFmtId="0" fontId="2" fillId="0" borderId="1" xfId="0" applyFont="1" applyBorder="1" applyAlignment="1">
      <alignment horizontal="center" wrapText="1"/>
    </xf>
    <xf numFmtId="0" fontId="38" fillId="0" borderId="3" xfId="0" applyFont="1" applyBorder="1" applyAlignment="1">
      <alignment horizontal="right"/>
    </xf>
    <xf numFmtId="0" fontId="12" fillId="0" borderId="3" xfId="0" applyFont="1" applyBorder="1" applyAlignment="1">
      <alignment horizontal="left" shrinkToFit="1"/>
    </xf>
    <xf numFmtId="0" fontId="12" fillId="0" borderId="24" xfId="0" applyFont="1" applyBorder="1" applyAlignment="1">
      <alignment horizontal="left" shrinkToFit="1"/>
    </xf>
    <xf numFmtId="0" fontId="12" fillId="0" borderId="1" xfId="0" applyFont="1" applyBorder="1" applyAlignment="1">
      <alignment horizontal="left" shrinkToFit="1"/>
    </xf>
    <xf numFmtId="0" fontId="12" fillId="0" borderId="8" xfId="0" applyFont="1" applyBorder="1" applyAlignment="1">
      <alignment horizontal="left" shrinkToFit="1"/>
    </xf>
    <xf numFmtId="0" fontId="12" fillId="0" borderId="0" xfId="0" applyFont="1" applyAlignment="1">
      <alignment horizontal="left"/>
    </xf>
    <xf numFmtId="0" fontId="12" fillId="0" borderId="18" xfId="0" applyFont="1" applyBorder="1" applyAlignment="1">
      <alignment horizontal="left"/>
    </xf>
    <xf numFmtId="6" fontId="10" fillId="7" borderId="0" xfId="0" applyNumberFormat="1" applyFont="1" applyFill="1" applyAlignment="1">
      <alignment horizontal="center"/>
    </xf>
    <xf numFmtId="6" fontId="10" fillId="7" borderId="0" xfId="0" applyNumberFormat="1" applyFont="1" applyFill="1" applyAlignment="1">
      <alignment horizontal="center" vertical="center"/>
    </xf>
    <xf numFmtId="6" fontId="12" fillId="7" borderId="1" xfId="0" applyNumberFormat="1" applyFont="1" applyFill="1" applyBorder="1" applyAlignment="1">
      <alignment horizontal="center"/>
    </xf>
    <xf numFmtId="0" fontId="46" fillId="2" borderId="0" xfId="0" applyFont="1" applyFill="1" applyAlignment="1">
      <alignment horizontal="center"/>
    </xf>
    <xf numFmtId="0" fontId="166" fillId="7" borderId="0" xfId="0" applyFont="1" applyFill="1" applyAlignment="1">
      <alignment horizontal="center"/>
    </xf>
    <xf numFmtId="0" fontId="12" fillId="0" borderId="3" xfId="0" applyFont="1" applyBorder="1" applyAlignment="1">
      <alignment horizontal="left"/>
    </xf>
    <xf numFmtId="0" fontId="12" fillId="0" borderId="24" xfId="0" applyFont="1" applyBorder="1" applyAlignment="1">
      <alignment horizontal="left"/>
    </xf>
    <xf numFmtId="0" fontId="12" fillId="0" borderId="9" xfId="0" applyFont="1" applyBorder="1" applyAlignment="1">
      <alignment horizontal="left" shrinkToFit="1"/>
    </xf>
    <xf numFmtId="0" fontId="3" fillId="3" borderId="4" xfId="0" applyFont="1" applyFill="1" applyBorder="1" applyAlignment="1" applyProtection="1">
      <alignment horizontal="left" shrinkToFit="1"/>
      <protection locked="0"/>
    </xf>
    <xf numFmtId="0" fontId="12" fillId="3" borderId="6" xfId="0" applyFont="1" applyFill="1" applyBorder="1" applyAlignment="1" applyProtection="1">
      <alignment horizontal="left" shrinkToFit="1"/>
      <protection locked="0"/>
    </xf>
    <xf numFmtId="49" fontId="119" fillId="3" borderId="4" xfId="0" applyNumberFormat="1" applyFont="1" applyFill="1" applyBorder="1" applyAlignment="1" applyProtection="1">
      <alignment horizontal="left" shrinkToFit="1"/>
      <protection locked="0"/>
    </xf>
    <xf numFmtId="49" fontId="119" fillId="3" borderId="5" xfId="0" applyNumberFormat="1" applyFont="1" applyFill="1" applyBorder="1" applyAlignment="1" applyProtection="1">
      <alignment horizontal="left" shrinkToFit="1"/>
      <protection locked="0"/>
    </xf>
    <xf numFmtId="49" fontId="119" fillId="3" borderId="6" xfId="0" applyNumberFormat="1" applyFont="1" applyFill="1" applyBorder="1" applyAlignment="1" applyProtection="1">
      <alignment horizontal="left" shrinkToFit="1"/>
      <protection locked="0"/>
    </xf>
    <xf numFmtId="0" fontId="17" fillId="0" borderId="0" xfId="0" applyFont="1" applyAlignment="1">
      <alignment horizontal="right" shrinkToFit="1"/>
    </xf>
    <xf numFmtId="0" fontId="12" fillId="0" borderId="2" xfId="0" applyFont="1" applyBorder="1" applyAlignment="1">
      <alignment horizontal="left" shrinkToFit="1"/>
    </xf>
    <xf numFmtId="0" fontId="12" fillId="0" borderId="1" xfId="0" applyFont="1" applyBorder="1" applyAlignment="1">
      <alignment horizontal="left"/>
    </xf>
    <xf numFmtId="0" fontId="12" fillId="0" borderId="8" xfId="0" applyFont="1" applyBorder="1" applyAlignment="1">
      <alignment horizontal="left"/>
    </xf>
    <xf numFmtId="0" fontId="142" fillId="7" borderId="2" xfId="0" applyFont="1" applyFill="1" applyBorder="1" applyAlignment="1" applyProtection="1">
      <alignment horizontal="left" shrinkToFit="1"/>
      <protection locked="0"/>
    </xf>
    <xf numFmtId="0" fontId="142" fillId="0" borderId="0" xfId="0" applyFont="1" applyAlignment="1">
      <alignment horizontal="center"/>
    </xf>
    <xf numFmtId="0" fontId="166" fillId="0" borderId="0" xfId="0" applyFont="1" applyAlignment="1">
      <alignment horizontal="center"/>
    </xf>
    <xf numFmtId="0" fontId="119" fillId="7" borderId="1" xfId="0" applyFont="1" applyFill="1" applyBorder="1" applyAlignment="1">
      <alignment horizontal="left" shrinkToFit="1"/>
    </xf>
    <xf numFmtId="0" fontId="125" fillId="0" borderId="1" xfId="0" applyFont="1" applyBorder="1" applyAlignment="1">
      <alignment horizontal="left"/>
    </xf>
    <xf numFmtId="0" fontId="12" fillId="0" borderId="0" xfId="0" applyFont="1" applyAlignment="1">
      <alignment horizontal="left" indent="3" shrinkToFit="1"/>
    </xf>
    <xf numFmtId="0" fontId="12" fillId="0" borderId="0" xfId="0" applyFont="1" applyAlignment="1">
      <alignment horizontal="center"/>
    </xf>
    <xf numFmtId="0" fontId="12" fillId="0" borderId="1" xfId="0" applyFont="1" applyBorder="1" applyAlignment="1">
      <alignment horizontal="center"/>
    </xf>
    <xf numFmtId="0" fontId="92" fillId="0" borderId="0" xfId="0" applyFont="1" applyAlignment="1">
      <alignment horizontal="center" vertical="top"/>
    </xf>
    <xf numFmtId="0" fontId="92" fillId="0" borderId="1" xfId="0" applyFont="1" applyBorder="1" applyAlignment="1">
      <alignment horizontal="center" vertical="top"/>
    </xf>
    <xf numFmtId="0" fontId="150" fillId="2" borderId="1" xfId="0" applyFont="1" applyFill="1" applyBorder="1" applyAlignment="1">
      <alignment horizontal="center" vertical="center"/>
    </xf>
    <xf numFmtId="0" fontId="108" fillId="7" borderId="0" xfId="0" applyFont="1" applyFill="1" applyAlignment="1">
      <alignment horizontal="center"/>
    </xf>
    <xf numFmtId="0" fontId="34" fillId="0" borderId="0" xfId="0" applyFont="1" applyAlignment="1">
      <alignment horizontal="center"/>
    </xf>
    <xf numFmtId="0" fontId="132" fillId="0" borderId="0" xfId="0" applyFont="1" applyAlignment="1">
      <alignment horizontal="center" vertical="center"/>
    </xf>
    <xf numFmtId="0" fontId="42" fillId="2" borderId="1" xfId="0" applyFont="1" applyFill="1" applyBorder="1" applyAlignment="1">
      <alignment horizontal="center" vertical="center"/>
    </xf>
    <xf numFmtId="0" fontId="58" fillId="2" borderId="3" xfId="0" applyFont="1" applyFill="1" applyBorder="1" applyAlignment="1">
      <alignment horizontal="right"/>
    </xf>
    <xf numFmtId="0" fontId="144" fillId="2" borderId="0" xfId="0" applyFont="1" applyFill="1" applyAlignment="1">
      <alignment horizontal="center"/>
    </xf>
    <xf numFmtId="0" fontId="16" fillId="0" borderId="3" xfId="0" applyFont="1" applyBorder="1" applyAlignment="1">
      <alignment horizontal="right" indent="1"/>
    </xf>
    <xf numFmtId="0" fontId="28" fillId="0" borderId="3" xfId="0" applyFont="1" applyBorder="1" applyAlignment="1">
      <alignment horizontal="left" indent="2"/>
    </xf>
    <xf numFmtId="0" fontId="28" fillId="0" borderId="1" xfId="0" applyFont="1" applyBorder="1"/>
    <xf numFmtId="0" fontId="28" fillId="7" borderId="0" xfId="0" applyFont="1" applyFill="1" applyAlignment="1">
      <alignment horizontal="center"/>
    </xf>
    <xf numFmtId="0" fontId="16" fillId="0" borderId="15" xfId="0" applyFont="1" applyBorder="1" applyAlignment="1">
      <alignment horizontal="right"/>
    </xf>
    <xf numFmtId="0" fontId="16" fillId="0" borderId="3" xfId="0" applyFont="1" applyBorder="1" applyAlignment="1">
      <alignment horizontal="right"/>
    </xf>
    <xf numFmtId="165" fontId="12" fillId="3" borderId="5" xfId="0" applyNumberFormat="1" applyFont="1" applyFill="1" applyBorder="1" applyAlignment="1" applyProtection="1">
      <alignment horizontal="left"/>
      <protection locked="0"/>
    </xf>
    <xf numFmtId="165" fontId="12" fillId="3" borderId="6" xfId="0" applyNumberFormat="1" applyFont="1" applyFill="1" applyBorder="1" applyAlignment="1" applyProtection="1">
      <alignment horizontal="left"/>
      <protection locked="0"/>
    </xf>
    <xf numFmtId="165" fontId="12" fillId="3" borderId="0" xfId="0" applyNumberFormat="1" applyFont="1" applyFill="1" applyAlignment="1" applyProtection="1">
      <alignment horizontal="left"/>
      <protection locked="0"/>
    </xf>
    <xf numFmtId="0" fontId="12" fillId="9" borderId="1" xfId="0" applyFont="1" applyFill="1" applyBorder="1" applyProtection="1">
      <protection locked="0"/>
    </xf>
    <xf numFmtId="0" fontId="16" fillId="7" borderId="0" xfId="0" applyFont="1" applyFill="1" applyAlignment="1">
      <alignment horizontal="right"/>
    </xf>
    <xf numFmtId="0" fontId="2" fillId="9" borderId="1" xfId="0" applyFont="1" applyFill="1" applyBorder="1" applyAlignment="1" applyProtection="1">
      <alignment horizontal="center"/>
      <protection locked="0"/>
    </xf>
    <xf numFmtId="0" fontId="100" fillId="7" borderId="0" xfId="0" applyFont="1" applyFill="1" applyAlignment="1">
      <alignment horizontal="center" wrapText="1"/>
    </xf>
    <xf numFmtId="0" fontId="26" fillId="2" borderId="0" xfId="0" applyFont="1" applyFill="1" applyAlignment="1" applyProtection="1">
      <alignment horizontal="center" vertical="center"/>
      <protection locked="0"/>
    </xf>
    <xf numFmtId="0" fontId="42" fillId="2" borderId="0" xfId="0" applyFont="1" applyFill="1" applyAlignment="1">
      <alignment horizontal="left" vertical="top" wrapText="1"/>
    </xf>
    <xf numFmtId="0" fontId="59" fillId="2" borderId="4" xfId="0" applyFont="1" applyFill="1" applyBorder="1" applyAlignment="1">
      <alignment horizontal="center" vertical="center" wrapText="1"/>
    </xf>
    <xf numFmtId="0" fontId="59" fillId="2" borderId="5" xfId="0" applyFont="1" applyFill="1" applyBorder="1" applyAlignment="1">
      <alignment horizontal="center" vertical="center" wrapText="1"/>
    </xf>
    <xf numFmtId="0" fontId="59" fillId="2" borderId="6" xfId="0" applyFont="1" applyFill="1" applyBorder="1" applyAlignment="1">
      <alignment horizontal="center" vertical="center" wrapText="1"/>
    </xf>
    <xf numFmtId="0" fontId="33" fillId="2" borderId="4"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6" xfId="0" applyFont="1" applyFill="1" applyBorder="1" applyAlignment="1">
      <alignment horizontal="center" vertical="center"/>
    </xf>
    <xf numFmtId="0" fontId="46" fillId="2" borderId="1" xfId="0" applyFont="1" applyFill="1" applyBorder="1" applyAlignment="1">
      <alignment horizontal="right"/>
    </xf>
    <xf numFmtId="0" fontId="30" fillId="11" borderId="1" xfId="0" applyFont="1" applyFill="1" applyBorder="1" applyAlignment="1">
      <alignment horizontal="center" shrinkToFit="1"/>
    </xf>
    <xf numFmtId="0" fontId="59" fillId="2" borderId="15" xfId="0" applyFont="1" applyFill="1" applyBorder="1" applyAlignment="1">
      <alignment horizontal="center" vertical="center" wrapText="1"/>
    </xf>
    <xf numFmtId="0" fontId="59" fillId="2" borderId="3" xfId="0" applyFont="1" applyFill="1" applyBorder="1" applyAlignment="1">
      <alignment horizontal="center" vertical="center" wrapText="1"/>
    </xf>
    <xf numFmtId="0" fontId="59" fillId="2" borderId="24" xfId="0" applyFont="1" applyFill="1" applyBorder="1" applyAlignment="1">
      <alignment horizontal="center" vertical="center" wrapText="1"/>
    </xf>
    <xf numFmtId="0" fontId="59" fillId="2" borderId="7"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2" borderId="8" xfId="0" applyFont="1" applyFill="1" applyBorder="1" applyAlignment="1">
      <alignment horizontal="center" vertical="center" wrapText="1"/>
    </xf>
    <xf numFmtId="0" fontId="1" fillId="7" borderId="0" xfId="0" applyFont="1" applyFill="1" applyAlignment="1" applyProtection="1">
      <alignment horizontal="left" vertical="top" wrapText="1"/>
      <protection locked="0"/>
    </xf>
    <xf numFmtId="0" fontId="3" fillId="7" borderId="0" xfId="0" applyFont="1" applyFill="1" applyAlignment="1" applyProtection="1">
      <alignment horizontal="left" vertical="top" wrapText="1"/>
      <protection locked="0"/>
    </xf>
    <xf numFmtId="0" fontId="10" fillId="0" borderId="1" xfId="0" applyFont="1" applyBorder="1" applyAlignment="1">
      <alignment horizontal="center"/>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46" fillId="0" borderId="0" xfId="0" applyFont="1" applyAlignment="1">
      <alignment horizontal="center"/>
    </xf>
    <xf numFmtId="0" fontId="2" fillId="9" borderId="37" xfId="0" applyFont="1" applyFill="1" applyBorder="1" applyAlignment="1" applyProtection="1">
      <alignment horizontal="left" wrapText="1"/>
      <protection locked="0"/>
    </xf>
    <xf numFmtId="0" fontId="2" fillId="9" borderId="28" xfId="0" applyFont="1" applyFill="1" applyBorder="1" applyAlignment="1" applyProtection="1">
      <alignment horizontal="left" wrapText="1"/>
      <protection locked="0"/>
    </xf>
    <xf numFmtId="0" fontId="2" fillId="9" borderId="38" xfId="0" applyFont="1" applyFill="1" applyBorder="1" applyAlignment="1" applyProtection="1">
      <alignment horizontal="left" wrapText="1"/>
      <protection locked="0"/>
    </xf>
    <xf numFmtId="0" fontId="2" fillId="9" borderId="39" xfId="0" applyFont="1" applyFill="1" applyBorder="1" applyAlignment="1" applyProtection="1">
      <alignment horizontal="left" wrapText="1"/>
      <protection locked="0"/>
    </xf>
    <xf numFmtId="0" fontId="2" fillId="9" borderId="32" xfId="0" applyFont="1" applyFill="1" applyBorder="1" applyAlignment="1" applyProtection="1">
      <alignment horizontal="left" wrapText="1"/>
      <protection locked="0"/>
    </xf>
    <xf numFmtId="0" fontId="2" fillId="9" borderId="40" xfId="0" applyFont="1" applyFill="1" applyBorder="1" applyAlignment="1" applyProtection="1">
      <alignment horizontal="left" wrapText="1"/>
      <protection locked="0"/>
    </xf>
    <xf numFmtId="165" fontId="47" fillId="0" borderId="0" xfId="0" applyNumberFormat="1" applyFont="1" applyAlignment="1">
      <alignment horizontal="center"/>
    </xf>
    <xf numFmtId="165" fontId="47" fillId="0" borderId="18" xfId="0" applyNumberFormat="1" applyFont="1" applyBorder="1" applyAlignment="1">
      <alignment horizontal="center"/>
    </xf>
    <xf numFmtId="37" fontId="2" fillId="0" borderId="0" xfId="0" applyNumberFormat="1" applyFont="1" applyAlignment="1">
      <alignment horizontal="left" wrapText="1"/>
    </xf>
    <xf numFmtId="37" fontId="2" fillId="7" borderId="0" xfId="0" applyNumberFormat="1" applyFont="1" applyFill="1" applyAlignment="1">
      <alignment horizontal="right" vertical="center" wrapText="1"/>
    </xf>
    <xf numFmtId="165" fontId="2" fillId="7" borderId="0" xfId="0" applyNumberFormat="1" applyFont="1" applyFill="1" applyAlignment="1">
      <alignment horizontal="left" indent="1"/>
    </xf>
    <xf numFmtId="0" fontId="83" fillId="0" borderId="1" xfId="0" applyFont="1" applyBorder="1" applyAlignment="1">
      <alignment horizontal="center"/>
    </xf>
    <xf numFmtId="0" fontId="142" fillId="7" borderId="0" xfId="0" applyFont="1" applyFill="1" applyAlignment="1">
      <alignment horizontal="left" shrinkToFit="1"/>
    </xf>
    <xf numFmtId="0" fontId="41" fillId="7" borderId="0" xfId="0" applyFont="1" applyFill="1" applyAlignment="1">
      <alignment horizontal="center" vertical="center"/>
    </xf>
    <xf numFmtId="165" fontId="144" fillId="7" borderId="0" xfId="0" applyNumberFormat="1" applyFont="1" applyFill="1" applyAlignment="1">
      <alignment horizontal="center"/>
    </xf>
    <xf numFmtId="0" fontId="2" fillId="0" borderId="0" xfId="0" applyFont="1" applyAlignment="1">
      <alignment horizontal="left" vertical="center" wrapText="1"/>
    </xf>
    <xf numFmtId="0" fontId="41" fillId="7" borderId="0" xfId="0" applyFont="1" applyFill="1" applyAlignment="1">
      <alignment horizontal="right" vertical="center"/>
    </xf>
    <xf numFmtId="37" fontId="2" fillId="0" borderId="0" xfId="0" applyNumberFormat="1" applyFont="1" applyAlignment="1">
      <alignment horizontal="left"/>
    </xf>
    <xf numFmtId="0" fontId="106" fillId="7" borderId="0" xfId="0" applyFont="1" applyFill="1" applyAlignment="1">
      <alignment horizontal="center" wrapText="1"/>
    </xf>
    <xf numFmtId="0" fontId="30" fillId="0" borderId="0" xfId="0" applyFont="1" applyAlignment="1">
      <alignment horizontal="left"/>
    </xf>
    <xf numFmtId="0" fontId="114" fillId="0" borderId="1" xfId="0" applyFont="1" applyBorder="1" applyAlignment="1">
      <alignment horizontal="left" wrapText="1"/>
    </xf>
    <xf numFmtId="0" fontId="161" fillId="7" borderId="3" xfId="0" applyFont="1" applyFill="1" applyBorder="1" applyAlignment="1">
      <alignment horizontal="left"/>
    </xf>
    <xf numFmtId="0" fontId="26" fillId="7" borderId="3" xfId="0" applyFont="1" applyFill="1" applyBorder="1" applyAlignment="1">
      <alignment horizontal="center"/>
    </xf>
    <xf numFmtId="0" fontId="26" fillId="7" borderId="0" xfId="0" applyFont="1" applyFill="1" applyAlignment="1">
      <alignment horizontal="center"/>
    </xf>
    <xf numFmtId="0" fontId="26" fillId="7" borderId="0" xfId="0" applyFont="1" applyFill="1" applyAlignment="1">
      <alignment horizontal="center" vertical="top"/>
    </xf>
    <xf numFmtId="0" fontId="26" fillId="7" borderId="1" xfId="0" applyFont="1" applyFill="1" applyBorder="1" applyAlignment="1">
      <alignment horizontal="center" vertical="top"/>
    </xf>
    <xf numFmtId="0" fontId="30" fillId="7" borderId="0" xfId="0" applyFont="1" applyFill="1" applyAlignment="1">
      <alignment horizontal="center" vertical="center"/>
    </xf>
    <xf numFmtId="0" fontId="26" fillId="7" borderId="3" xfId="0" applyFont="1" applyFill="1" applyBorder="1" applyAlignment="1">
      <alignment horizontal="center" vertical="center"/>
    </xf>
    <xf numFmtId="0" fontId="26" fillId="7" borderId="0" xfId="0" applyFont="1" applyFill="1" applyAlignment="1">
      <alignment horizontal="center" vertical="center"/>
    </xf>
    <xf numFmtId="0" fontId="26" fillId="7" borderId="1" xfId="0" applyFont="1" applyFill="1" applyBorder="1" applyAlignment="1">
      <alignment horizontal="center" vertical="center"/>
    </xf>
    <xf numFmtId="0" fontId="126" fillId="7" borderId="0" xfId="0" applyFont="1" applyFill="1" applyAlignment="1">
      <alignment horizontal="center"/>
    </xf>
    <xf numFmtId="0" fontId="7" fillId="7" borderId="1" xfId="0" applyFont="1" applyFill="1" applyBorder="1" applyAlignment="1">
      <alignment horizontal="left"/>
    </xf>
    <xf numFmtId="0" fontId="168" fillId="7" borderId="1" xfId="0" applyFont="1" applyFill="1" applyBorder="1" applyAlignment="1">
      <alignment horizontal="left"/>
    </xf>
    <xf numFmtId="172" fontId="142" fillId="2" borderId="0" xfId="6" applyFont="1" applyFill="1" applyAlignment="1">
      <alignment horizontal="center"/>
    </xf>
    <xf numFmtId="0" fontId="1" fillId="0" borderId="0" xfId="0" applyFont="1" applyAlignment="1">
      <alignment horizontal="left" vertical="top" wrapText="1" indent="5"/>
    </xf>
  </cellXfs>
  <cellStyles count="15">
    <cellStyle name="Comma" xfId="1" builtinId="3"/>
    <cellStyle name="Comma 2" xfId="9" xr:uid="{00000000-0005-0000-0000-000001000000}"/>
    <cellStyle name="Currency" xfId="2" builtinId="4"/>
    <cellStyle name="Currency 2" xfId="3" xr:uid="{00000000-0005-0000-0000-000003000000}"/>
    <cellStyle name="Currency 2 2" xfId="11" xr:uid="{00000000-0005-0000-0000-000004000000}"/>
    <cellStyle name="Currency 3" xfId="10" xr:uid="{00000000-0005-0000-0000-000005000000}"/>
    <cellStyle name="Hyperlink" xfId="14" builtinId="8"/>
    <cellStyle name="Normal" xfId="0" builtinId="0"/>
    <cellStyle name="Normal 2" xfId="4" xr:uid="{00000000-0005-0000-0000-000007000000}"/>
    <cellStyle name="Normal 2 2" xfId="12" xr:uid="{00000000-0005-0000-0000-000008000000}"/>
    <cellStyle name="Normal 3" xfId="8" xr:uid="{00000000-0005-0000-0000-000009000000}"/>
    <cellStyle name="Normal_3539-41 Wisconsin Revised 12-1-2010" xfId="5" xr:uid="{00000000-0005-0000-0000-00000A000000}"/>
    <cellStyle name="Normal_Conform Revised 3-3-11" xfId="6" xr:uid="{00000000-0005-0000-0000-00000B000000}"/>
    <cellStyle name="Percent" xfId="7" builtinId="5"/>
    <cellStyle name="Percent 2" xfId="13" xr:uid="{00000000-0005-0000-0000-00000D000000}"/>
  </cellStyles>
  <dxfs count="39">
    <dxf>
      <fill>
        <patternFill>
          <bgColor theme="1"/>
        </patternFill>
      </fill>
    </dxf>
    <dxf>
      <font>
        <color rgb="FFFF0000"/>
      </font>
    </dxf>
    <dxf>
      <font>
        <color theme="0"/>
      </font>
    </dxf>
    <dxf>
      <font>
        <color rgb="FFFF0000"/>
      </font>
    </dxf>
    <dxf>
      <font>
        <color rgb="FFFF0000"/>
      </font>
    </dxf>
    <dxf>
      <font>
        <color rgb="FFFF0000"/>
      </font>
    </dxf>
    <dxf>
      <font>
        <condense val="0"/>
        <extend val="0"/>
        <color indexed="9"/>
      </font>
    </dxf>
    <dxf>
      <font>
        <b/>
        <i val="0"/>
        <condense val="0"/>
        <extend val="0"/>
        <color indexed="10"/>
      </font>
    </dxf>
    <dxf>
      <fill>
        <patternFill>
          <bgColor theme="1" tint="0.14996795556505021"/>
        </patternFill>
      </fill>
    </dxf>
    <dxf>
      <font>
        <b/>
        <i val="0"/>
        <condense val="0"/>
        <extend val="0"/>
        <color indexed="12"/>
      </font>
    </dxf>
    <dxf>
      <font>
        <b/>
        <i val="0"/>
        <condense val="0"/>
        <extend val="0"/>
        <color indexed="9"/>
      </font>
      <fill>
        <patternFill>
          <bgColor indexed="9"/>
        </patternFill>
      </fill>
    </dxf>
    <dxf>
      <font>
        <b/>
        <i val="0"/>
        <condense val="0"/>
        <extend val="0"/>
        <color indexed="12"/>
      </font>
    </dxf>
    <dxf>
      <font>
        <color theme="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bgColor theme="1"/>
        </patternFill>
      </fill>
    </dxf>
    <dxf>
      <font>
        <b/>
        <i val="0"/>
        <color rgb="FFFF0000"/>
      </font>
    </dxf>
    <dxf>
      <font>
        <b val="0"/>
        <i val="0"/>
        <color rgb="FFFF0000"/>
      </font>
    </dxf>
    <dxf>
      <fill>
        <patternFill patternType="darkUp">
          <bgColor indexed="65"/>
        </patternFill>
      </fill>
    </dxf>
    <dxf>
      <fill>
        <patternFill patternType="darkUp">
          <bgColor indexed="65"/>
        </patternFill>
      </fill>
    </dxf>
    <dxf>
      <fill>
        <patternFill>
          <bgColor theme="1" tint="0.14996795556505021"/>
        </patternFill>
      </fill>
    </dxf>
    <dxf>
      <fill>
        <patternFill>
          <bgColor theme="1" tint="0.14996795556505021"/>
        </patternFill>
      </fill>
    </dxf>
    <dxf>
      <font>
        <color auto="1"/>
      </font>
      <fill>
        <patternFill>
          <bgColor theme="1"/>
        </patternFill>
      </fill>
    </dxf>
    <dxf>
      <font>
        <b/>
        <i val="0"/>
        <condense val="0"/>
        <extend val="0"/>
        <color indexed="10"/>
      </font>
    </dxf>
    <dxf>
      <font>
        <b/>
        <i val="0"/>
        <condense val="0"/>
        <extend val="0"/>
        <color indexed="10"/>
      </font>
    </dxf>
    <dxf>
      <font>
        <color theme="0"/>
      </font>
    </dxf>
    <dxf>
      <font>
        <color theme="0"/>
      </font>
    </dxf>
    <dxf>
      <font>
        <color theme="0"/>
      </font>
    </dxf>
  </dxfs>
  <tableStyles count="0" defaultTableStyle="TableStyleMedium9" defaultPivotStyle="PivotStyleLight16"/>
  <colors>
    <mruColors>
      <color rgb="FF0000FF"/>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628650</xdr:colOff>
      <xdr:row>7</xdr:row>
      <xdr:rowOff>76200</xdr:rowOff>
    </xdr:from>
    <xdr:to>
      <xdr:col>11</xdr:col>
      <xdr:colOff>704850</xdr:colOff>
      <xdr:row>11</xdr:row>
      <xdr:rowOff>66677</xdr:rowOff>
    </xdr:to>
    <xdr:cxnSp macro="">
      <xdr:nvCxnSpPr>
        <xdr:cNvPr id="3663" name="Straight Arrow Connector 2">
          <a:extLst>
            <a:ext uri="{FF2B5EF4-FFF2-40B4-BE49-F238E27FC236}">
              <a16:creationId xmlns:a16="http://schemas.microsoft.com/office/drawing/2014/main" id="{00000000-0008-0000-0600-00004F0E0000}"/>
            </a:ext>
          </a:extLst>
        </xdr:cNvPr>
        <xdr:cNvCxnSpPr>
          <a:cxnSpLocks noChangeShapeType="1"/>
        </xdr:cNvCxnSpPr>
      </xdr:nvCxnSpPr>
      <xdr:spPr bwMode="auto">
        <a:xfrm flipV="1">
          <a:off x="9505950" y="1419225"/>
          <a:ext cx="1752600" cy="704852"/>
        </a:xfrm>
        <a:prstGeom prst="straightConnector1">
          <a:avLst/>
        </a:prstGeom>
        <a:noFill/>
        <a:ln w="19050" algn="ctr">
          <a:solidFill>
            <a:schemeClr val="accent5">
              <a:lumMod val="75000"/>
            </a:schemeClr>
          </a:solidFill>
          <a:prstDash val="sysDot"/>
          <a:round/>
          <a:headEnd/>
          <a:tailEnd type="arrow"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Davidf\Documents\GroupWise\LMG%20DRAFT%20Rental%20Application%20Proforma%20March28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Application"/>
      <sheetName val="A.1)Properties"/>
      <sheetName val="0)UnderwritingCriteria"/>
      <sheetName val="1)Summary"/>
      <sheetName val="2)Sources &amp; Uses"/>
      <sheetName val="3)Income"/>
      <sheetName val="4)Expenses"/>
      <sheetName val="5)Operating Proforma"/>
      <sheetName val="6)Housing Credits"/>
      <sheetName val="7)Compliance Check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ortal.neighborlysoftware.com/LOUISVILLEKY/Participan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J192"/>
  <sheetViews>
    <sheetView showGridLines="0" zoomScaleNormal="100" workbookViewId="0">
      <selection activeCell="C5" sqref="C5"/>
    </sheetView>
  </sheetViews>
  <sheetFormatPr defaultRowHeight="15"/>
  <cols>
    <col min="1" max="1" width="4.81640625" customWidth="1"/>
    <col min="2" max="2" width="3.453125" style="316" customWidth="1"/>
    <col min="3" max="3" width="77.81640625" customWidth="1"/>
  </cols>
  <sheetData>
    <row r="1" spans="1:10" ht="44.25" customHeight="1">
      <c r="A1" s="1207" t="s">
        <v>710</v>
      </c>
      <c r="B1" s="1207"/>
      <c r="C1" s="1207"/>
      <c r="D1" s="314"/>
      <c r="E1" s="314"/>
      <c r="F1" s="314"/>
      <c r="G1" s="314"/>
      <c r="H1" s="314"/>
      <c r="I1" s="29"/>
    </row>
    <row r="2" spans="1:10">
      <c r="A2" s="23"/>
      <c r="B2" s="315"/>
      <c r="C2" s="23"/>
      <c r="D2" s="23"/>
      <c r="E2" s="23"/>
      <c r="F2" s="23"/>
      <c r="G2" s="23"/>
      <c r="H2" s="23"/>
      <c r="J2" s="1"/>
    </row>
    <row r="3" spans="1:10" s="63" customFormat="1" ht="15.6">
      <c r="A3" s="1208" t="s">
        <v>384</v>
      </c>
      <c r="B3" s="1208"/>
      <c r="C3" s="1208"/>
      <c r="D3" s="990"/>
      <c r="E3" s="990"/>
      <c r="F3" s="990"/>
      <c r="G3" s="990"/>
      <c r="H3" s="990"/>
    </row>
    <row r="4" spans="1:10" s="63" customFormat="1" ht="13.2">
      <c r="A4" s="990"/>
      <c r="B4" s="991" t="s">
        <v>386</v>
      </c>
      <c r="C4" s="990" t="s">
        <v>390</v>
      </c>
      <c r="D4" s="990"/>
      <c r="E4" s="990"/>
      <c r="F4" s="990"/>
      <c r="G4" s="990"/>
      <c r="H4" s="990"/>
    </row>
    <row r="5" spans="1:10" s="63" customFormat="1" ht="26.4">
      <c r="A5" s="990"/>
      <c r="B5" s="991" t="s">
        <v>387</v>
      </c>
      <c r="C5" s="992" t="s">
        <v>443</v>
      </c>
      <c r="D5" s="990"/>
      <c r="E5" s="990"/>
      <c r="F5" s="990"/>
      <c r="G5" s="990"/>
      <c r="H5" s="990"/>
    </row>
    <row r="6" spans="1:10" s="63" customFormat="1" ht="13.2">
      <c r="A6" s="990"/>
      <c r="B6" s="991" t="s">
        <v>388</v>
      </c>
      <c r="C6" s="992" t="s">
        <v>702</v>
      </c>
      <c r="D6" s="990"/>
      <c r="E6" s="990"/>
      <c r="F6" s="990"/>
      <c r="G6" s="990"/>
      <c r="H6" s="990"/>
    </row>
    <row r="7" spans="1:10" s="63" customFormat="1" ht="13.2">
      <c r="A7" s="990"/>
      <c r="B7" s="991"/>
      <c r="C7" s="993" t="s">
        <v>391</v>
      </c>
      <c r="D7" s="990"/>
      <c r="E7" s="990"/>
      <c r="F7" s="990"/>
      <c r="G7" s="990"/>
      <c r="H7" s="990"/>
    </row>
    <row r="8" spans="1:10" s="63" customFormat="1" ht="13.2">
      <c r="A8" s="990"/>
      <c r="B8" s="991"/>
      <c r="C8" s="993" t="s">
        <v>392</v>
      </c>
      <c r="D8" s="990"/>
      <c r="E8" s="990"/>
      <c r="F8" s="990"/>
      <c r="G8" s="990"/>
      <c r="H8" s="990"/>
    </row>
    <row r="9" spans="1:10" s="63" customFormat="1" ht="13.2">
      <c r="A9" s="990"/>
      <c r="B9" s="991"/>
      <c r="C9" s="993" t="s">
        <v>393</v>
      </c>
      <c r="D9" s="990"/>
      <c r="E9" s="990"/>
      <c r="F9" s="990"/>
      <c r="G9" s="990"/>
      <c r="H9" s="990"/>
    </row>
    <row r="10" spans="1:10" s="63" customFormat="1" ht="13.2">
      <c r="A10" s="990"/>
      <c r="B10" s="991"/>
      <c r="C10" s="993" t="s">
        <v>394</v>
      </c>
      <c r="D10" s="990"/>
      <c r="E10" s="990"/>
      <c r="F10" s="990"/>
      <c r="G10" s="990"/>
      <c r="H10" s="990"/>
    </row>
    <row r="11" spans="1:10" s="63" customFormat="1" ht="13.2">
      <c r="A11" s="990"/>
      <c r="B11" s="991"/>
      <c r="C11" s="993" t="s">
        <v>395</v>
      </c>
      <c r="D11" s="990"/>
      <c r="E11" s="990"/>
      <c r="F11" s="990"/>
      <c r="G11" s="990"/>
      <c r="H11" s="990"/>
    </row>
    <row r="12" spans="1:10" s="63" customFormat="1" ht="13.2">
      <c r="A12" s="990"/>
      <c r="B12" s="991"/>
      <c r="C12" s="993" t="s">
        <v>397</v>
      </c>
      <c r="D12" s="990"/>
      <c r="E12" s="990"/>
      <c r="F12" s="990"/>
      <c r="G12" s="990"/>
      <c r="H12" s="990"/>
    </row>
    <row r="13" spans="1:10" s="63" customFormat="1" ht="13.2">
      <c r="A13" s="990"/>
      <c r="B13" s="991"/>
      <c r="C13" s="1449" t="s">
        <v>720</v>
      </c>
      <c r="D13" s="990"/>
      <c r="E13" s="990"/>
      <c r="F13" s="990"/>
      <c r="G13" s="990"/>
      <c r="H13" s="990"/>
    </row>
    <row r="14" spans="1:10" s="63" customFormat="1" ht="13.2">
      <c r="A14" s="990"/>
      <c r="B14" s="991"/>
      <c r="C14" s="993" t="s">
        <v>721</v>
      </c>
      <c r="D14" s="990"/>
      <c r="E14" s="990"/>
      <c r="F14" s="990"/>
      <c r="G14" s="990"/>
      <c r="H14" s="990"/>
    </row>
    <row r="15" spans="1:10" s="63" customFormat="1" ht="13.2">
      <c r="A15" s="990"/>
      <c r="B15" s="991" t="s">
        <v>389</v>
      </c>
      <c r="C15" s="990" t="s">
        <v>398</v>
      </c>
      <c r="D15" s="990"/>
      <c r="E15" s="990"/>
      <c r="F15" s="990"/>
      <c r="G15" s="990"/>
      <c r="H15" s="990"/>
    </row>
    <row r="16" spans="1:10" s="63" customFormat="1" ht="13.2">
      <c r="A16" s="990"/>
      <c r="B16" s="991" t="s">
        <v>399</v>
      </c>
      <c r="C16" s="990" t="s">
        <v>727</v>
      </c>
      <c r="D16" s="990"/>
      <c r="E16" s="990"/>
      <c r="F16" s="990"/>
      <c r="G16" s="990"/>
      <c r="H16" s="990"/>
    </row>
    <row r="17" spans="1:10" s="341" customFormat="1" ht="13.2">
      <c r="A17" s="1209" t="s">
        <v>391</v>
      </c>
      <c r="B17" s="1209"/>
      <c r="C17" s="1209"/>
      <c r="D17" s="994"/>
      <c r="E17" s="994"/>
      <c r="F17" s="994"/>
      <c r="G17" s="994"/>
      <c r="H17" s="994"/>
    </row>
    <row r="18" spans="1:10" s="341" customFormat="1" ht="26.4">
      <c r="A18" s="995"/>
      <c r="B18" s="991" t="s">
        <v>386</v>
      </c>
      <c r="C18" s="997" t="s">
        <v>703</v>
      </c>
      <c r="D18" s="994"/>
      <c r="E18" s="994"/>
      <c r="F18" s="994"/>
      <c r="G18" s="994"/>
      <c r="H18" s="994"/>
    </row>
    <row r="19" spans="1:10" s="341" customFormat="1" ht="28.5" customHeight="1">
      <c r="A19" s="995"/>
      <c r="B19" s="991" t="s">
        <v>387</v>
      </c>
      <c r="C19" s="999" t="s">
        <v>704</v>
      </c>
      <c r="D19" s="994"/>
      <c r="E19" s="994"/>
      <c r="F19" s="994"/>
      <c r="G19" s="994"/>
      <c r="H19" s="994"/>
    </row>
    <row r="20" spans="1:10" s="63" customFormat="1" ht="26.4">
      <c r="A20" s="996"/>
      <c r="B20" s="991" t="s">
        <v>388</v>
      </c>
      <c r="C20" s="997" t="s">
        <v>705</v>
      </c>
      <c r="D20" s="990"/>
      <c r="E20" s="990"/>
      <c r="F20" s="990"/>
      <c r="G20" s="990"/>
      <c r="H20" s="990"/>
    </row>
    <row r="21" spans="1:10" s="63" customFormat="1" ht="13.2">
      <c r="A21" s="996"/>
      <c r="B21" s="991" t="s">
        <v>389</v>
      </c>
      <c r="C21" s="997" t="s">
        <v>507</v>
      </c>
      <c r="D21" s="990"/>
      <c r="E21" s="990"/>
      <c r="F21" s="990"/>
      <c r="G21" s="990"/>
      <c r="H21" s="990"/>
    </row>
    <row r="22" spans="1:10" s="341" customFormat="1" ht="15.75" customHeight="1">
      <c r="A22" s="1209" t="s">
        <v>392</v>
      </c>
      <c r="B22" s="1209"/>
      <c r="C22" s="1209"/>
      <c r="D22" s="1210"/>
      <c r="E22" s="1210"/>
      <c r="F22" s="1210"/>
      <c r="G22" s="1210"/>
      <c r="H22" s="1210"/>
      <c r="J22" s="50"/>
    </row>
    <row r="23" spans="1:10" s="341" customFormat="1" ht="13.2">
      <c r="A23" s="995"/>
      <c r="B23" s="991" t="s">
        <v>386</v>
      </c>
      <c r="C23" s="1200" t="s">
        <v>805</v>
      </c>
      <c r="D23" s="994"/>
      <c r="E23" s="994"/>
      <c r="F23" s="994"/>
      <c r="G23" s="994"/>
      <c r="H23" s="994"/>
    </row>
    <row r="24" spans="1:10" s="341" customFormat="1" ht="26.4">
      <c r="A24" s="995"/>
      <c r="B24" s="991" t="s">
        <v>387</v>
      </c>
      <c r="C24" s="997" t="s">
        <v>491</v>
      </c>
      <c r="D24" s="994"/>
      <c r="E24" s="994"/>
      <c r="F24" s="994"/>
      <c r="G24" s="994"/>
      <c r="H24" s="994"/>
    </row>
    <row r="25" spans="1:10" s="341" customFormat="1" ht="13.2">
      <c r="A25" s="1209" t="s">
        <v>393</v>
      </c>
      <c r="B25" s="1209"/>
      <c r="C25" s="1209"/>
      <c r="D25" s="1210"/>
      <c r="E25" s="1210"/>
      <c r="F25" s="1210"/>
      <c r="G25" s="1210"/>
      <c r="H25" s="1210"/>
    </row>
    <row r="26" spans="1:10" s="341" customFormat="1" ht="26.4">
      <c r="A26" s="995"/>
      <c r="B26" s="991" t="s">
        <v>386</v>
      </c>
      <c r="C26" s="990" t="s">
        <v>410</v>
      </c>
      <c r="D26" s="994"/>
      <c r="E26" s="994"/>
      <c r="F26" s="994"/>
      <c r="G26" s="994"/>
      <c r="H26" s="994"/>
    </row>
    <row r="27" spans="1:10" s="341" customFormat="1" ht="26.4">
      <c r="A27" s="995"/>
      <c r="B27" s="991" t="s">
        <v>387</v>
      </c>
      <c r="C27" s="990" t="s">
        <v>411</v>
      </c>
      <c r="D27" s="994"/>
      <c r="E27" s="994"/>
      <c r="F27" s="994"/>
      <c r="G27" s="994"/>
      <c r="H27" s="994"/>
    </row>
    <row r="28" spans="1:10" s="63" customFormat="1" ht="39.6">
      <c r="A28" s="996"/>
      <c r="B28" s="991" t="s">
        <v>388</v>
      </c>
      <c r="C28" s="990" t="s">
        <v>728</v>
      </c>
      <c r="D28" s="990"/>
      <c r="E28" s="990"/>
      <c r="F28" s="990"/>
      <c r="G28" s="990"/>
      <c r="H28" s="990"/>
    </row>
    <row r="29" spans="1:10" s="63" customFormat="1" ht="26.4">
      <c r="A29" s="996"/>
      <c r="B29" s="991" t="s">
        <v>389</v>
      </c>
      <c r="C29" s="990" t="s">
        <v>490</v>
      </c>
      <c r="D29" s="990"/>
      <c r="E29" s="990"/>
      <c r="F29" s="990"/>
      <c r="G29" s="990"/>
      <c r="H29" s="990"/>
    </row>
    <row r="30" spans="1:10" s="63" customFormat="1" ht="26.25" customHeight="1">
      <c r="A30" s="996"/>
      <c r="B30" s="991" t="s">
        <v>399</v>
      </c>
      <c r="C30" s="992" t="s">
        <v>706</v>
      </c>
      <c r="D30" s="990"/>
      <c r="E30" s="990"/>
      <c r="F30" s="990"/>
      <c r="G30" s="990"/>
      <c r="H30" s="990"/>
    </row>
    <row r="31" spans="1:10" s="63" customFormat="1" ht="13.2">
      <c r="A31" s="996"/>
      <c r="B31" s="991" t="s">
        <v>401</v>
      </c>
      <c r="C31" s="990" t="s">
        <v>719</v>
      </c>
      <c r="D31" s="990"/>
      <c r="E31" s="990"/>
      <c r="F31" s="990"/>
      <c r="G31" s="990"/>
      <c r="H31" s="990"/>
    </row>
    <row r="32" spans="1:10" s="341" customFormat="1" ht="15.75" customHeight="1">
      <c r="A32" s="1209" t="s">
        <v>394</v>
      </c>
      <c r="B32" s="1209"/>
      <c r="C32" s="1209"/>
      <c r="D32" s="1210"/>
      <c r="E32" s="1210"/>
      <c r="F32" s="1210"/>
      <c r="G32" s="1210"/>
      <c r="H32" s="1210"/>
    </row>
    <row r="33" spans="1:8" s="341" customFormat="1" ht="13.2">
      <c r="A33" s="995"/>
      <c r="B33" s="991" t="s">
        <v>386</v>
      </c>
      <c r="C33" s="990" t="s">
        <v>400</v>
      </c>
      <c r="D33" s="994"/>
      <c r="E33" s="994"/>
      <c r="F33" s="994"/>
      <c r="G33" s="994"/>
      <c r="H33" s="994"/>
    </row>
    <row r="34" spans="1:8" s="341" customFormat="1" ht="82.2" customHeight="1">
      <c r="A34" s="995"/>
      <c r="B34" s="991" t="s">
        <v>387</v>
      </c>
      <c r="C34" s="1201" t="s">
        <v>745</v>
      </c>
      <c r="D34" s="994"/>
      <c r="E34" s="994"/>
      <c r="F34" s="994"/>
      <c r="G34" s="994"/>
      <c r="H34" s="994"/>
    </row>
    <row r="35" spans="1:8" s="63" customFormat="1" ht="31.5" customHeight="1">
      <c r="A35" s="996"/>
      <c r="B35" s="991" t="s">
        <v>388</v>
      </c>
      <c r="C35" s="998" t="s">
        <v>729</v>
      </c>
      <c r="D35" s="990"/>
      <c r="E35" s="990"/>
      <c r="F35" s="990"/>
      <c r="G35" s="990"/>
      <c r="H35" s="990"/>
    </row>
    <row r="36" spans="1:8" s="63" customFormat="1" ht="18" customHeight="1">
      <c r="A36" s="996"/>
      <c r="B36" s="991" t="s">
        <v>389</v>
      </c>
      <c r="C36" s="998" t="s">
        <v>730</v>
      </c>
      <c r="D36" s="990"/>
      <c r="E36" s="990"/>
      <c r="F36" s="990"/>
      <c r="G36" s="990"/>
      <c r="H36" s="990"/>
    </row>
    <row r="37" spans="1:8" s="63" customFormat="1" ht="55.2" customHeight="1">
      <c r="A37" s="996"/>
      <c r="B37" s="991" t="s">
        <v>399</v>
      </c>
      <c r="C37" s="998" t="s">
        <v>731</v>
      </c>
      <c r="D37" s="990"/>
      <c r="E37" s="990"/>
      <c r="F37" s="990"/>
      <c r="G37" s="990"/>
      <c r="H37" s="990"/>
    </row>
    <row r="38" spans="1:8" s="63" customFormat="1" ht="14.25" customHeight="1">
      <c r="A38" s="996"/>
      <c r="B38" s="991" t="s">
        <v>401</v>
      </c>
      <c r="C38" s="998" t="s">
        <v>732</v>
      </c>
      <c r="D38" s="990"/>
      <c r="E38" s="990"/>
      <c r="F38" s="990"/>
      <c r="G38" s="990"/>
      <c r="H38" s="990"/>
    </row>
    <row r="39" spans="1:8" s="63" customFormat="1" ht="26.4">
      <c r="A39" s="996"/>
      <c r="B39" s="991" t="s">
        <v>483</v>
      </c>
      <c r="C39" s="992" t="s">
        <v>733</v>
      </c>
      <c r="D39" s="990"/>
      <c r="E39" s="990"/>
      <c r="F39" s="990"/>
      <c r="G39" s="990"/>
      <c r="H39" s="990"/>
    </row>
    <row r="40" spans="1:8" s="341" customFormat="1" ht="13.2">
      <c r="A40" s="1209" t="s">
        <v>395</v>
      </c>
      <c r="B40" s="1209"/>
      <c r="C40" s="1209"/>
      <c r="D40" s="1210"/>
      <c r="E40" s="1210"/>
      <c r="F40" s="1210"/>
      <c r="G40" s="1210"/>
      <c r="H40" s="1210"/>
    </row>
    <row r="41" spans="1:8" s="341" customFormat="1" ht="13.2">
      <c r="A41" s="995"/>
      <c r="B41" s="991" t="s">
        <v>386</v>
      </c>
      <c r="C41" s="990" t="s">
        <v>445</v>
      </c>
      <c r="D41" s="994"/>
      <c r="E41" s="994"/>
      <c r="F41" s="994"/>
      <c r="G41" s="994"/>
      <c r="H41" s="994"/>
    </row>
    <row r="42" spans="1:8" s="341" customFormat="1" ht="13.2">
      <c r="A42" s="995"/>
      <c r="B42" s="991" t="s">
        <v>387</v>
      </c>
      <c r="C42" s="990" t="s">
        <v>402</v>
      </c>
      <c r="D42" s="994"/>
      <c r="E42" s="994"/>
      <c r="F42" s="994"/>
      <c r="G42" s="994"/>
      <c r="H42" s="994"/>
    </row>
    <row r="43" spans="1:8" s="341" customFormat="1" ht="15.75" customHeight="1">
      <c r="A43" s="1209" t="s">
        <v>397</v>
      </c>
      <c r="B43" s="1209"/>
      <c r="C43" s="1209"/>
      <c r="D43" s="1210"/>
      <c r="E43" s="1210"/>
      <c r="F43" s="1210"/>
      <c r="G43" s="1210"/>
      <c r="H43" s="1210"/>
    </row>
    <row r="44" spans="1:8" s="341" customFormat="1" ht="96" customHeight="1">
      <c r="A44" s="995"/>
      <c r="B44" s="991" t="s">
        <v>386</v>
      </c>
      <c r="C44" s="999" t="s">
        <v>722</v>
      </c>
      <c r="D44" s="994"/>
      <c r="E44" s="994"/>
      <c r="F44" s="994"/>
      <c r="G44" s="994"/>
      <c r="H44" s="994"/>
    </row>
    <row r="45" spans="1:8" s="341" customFormat="1" ht="31.5" customHeight="1">
      <c r="A45" s="995"/>
      <c r="B45" s="991" t="s">
        <v>387</v>
      </c>
      <c r="C45" s="999" t="s">
        <v>707</v>
      </c>
      <c r="D45" s="994"/>
      <c r="E45" s="994"/>
      <c r="F45" s="994"/>
      <c r="G45" s="994"/>
      <c r="H45" s="994"/>
    </row>
    <row r="46" spans="1:8" s="341" customFormat="1" ht="31.5" customHeight="1">
      <c r="A46" s="995"/>
      <c r="B46" s="991" t="s">
        <v>388</v>
      </c>
      <c r="C46" s="999" t="s">
        <v>484</v>
      </c>
      <c r="D46" s="994"/>
      <c r="E46" s="994"/>
      <c r="F46" s="994"/>
      <c r="G46" s="994"/>
      <c r="H46" s="994"/>
    </row>
    <row r="47" spans="1:8" s="63" customFormat="1" ht="45" customHeight="1">
      <c r="A47" s="996"/>
      <c r="B47" s="991" t="s">
        <v>389</v>
      </c>
      <c r="C47" s="992" t="s">
        <v>734</v>
      </c>
      <c r="D47" s="990"/>
      <c r="E47" s="990"/>
      <c r="F47" s="990"/>
      <c r="G47" s="990"/>
      <c r="H47" s="990"/>
    </row>
    <row r="48" spans="1:8" s="341" customFormat="1" ht="45" customHeight="1">
      <c r="A48" s="995"/>
      <c r="B48" s="991" t="s">
        <v>399</v>
      </c>
      <c r="C48" s="992" t="s">
        <v>412</v>
      </c>
      <c r="D48" s="995"/>
      <c r="E48" s="995"/>
      <c r="F48" s="995"/>
      <c r="G48" s="995"/>
      <c r="H48" s="995"/>
    </row>
    <row r="49" spans="1:8" s="341" customFormat="1" ht="13.2">
      <c r="A49" s="1209" t="s">
        <v>396</v>
      </c>
      <c r="B49" s="1209"/>
      <c r="C49" s="1209"/>
      <c r="D49" s="995"/>
      <c r="E49" s="995"/>
      <c r="F49" s="995"/>
      <c r="G49" s="995"/>
      <c r="H49" s="995"/>
    </row>
    <row r="50" spans="1:8" s="341" customFormat="1" ht="26.4">
      <c r="A50" s="995"/>
      <c r="B50" s="991" t="s">
        <v>386</v>
      </c>
      <c r="C50" s="999" t="s">
        <v>622</v>
      </c>
      <c r="D50" s="995"/>
      <c r="E50" s="995"/>
      <c r="F50" s="995"/>
      <c r="G50" s="995"/>
      <c r="H50" s="995"/>
    </row>
    <row r="51" spans="1:8" s="341" customFormat="1" ht="45" customHeight="1">
      <c r="A51" s="996"/>
      <c r="B51" s="991" t="s">
        <v>623</v>
      </c>
      <c r="C51" s="990" t="s">
        <v>624</v>
      </c>
      <c r="D51" s="995"/>
      <c r="E51" s="995"/>
      <c r="F51" s="995"/>
      <c r="G51" s="995"/>
      <c r="H51" s="995"/>
    </row>
    <row r="52" spans="1:8" s="341" customFormat="1" ht="15.75" customHeight="1">
      <c r="A52" s="1209" t="s">
        <v>721</v>
      </c>
      <c r="B52" s="1209"/>
      <c r="C52" s="1209"/>
      <c r="D52" s="1210"/>
      <c r="E52" s="1210"/>
      <c r="F52" s="1210"/>
      <c r="G52" s="1210"/>
      <c r="H52" s="1210"/>
    </row>
    <row r="53" spans="1:8" s="341" customFormat="1" ht="13.2">
      <c r="A53" s="995"/>
      <c r="B53" s="991" t="s">
        <v>386</v>
      </c>
      <c r="C53" s="997" t="s">
        <v>708</v>
      </c>
      <c r="D53" s="994"/>
      <c r="E53" s="994"/>
      <c r="F53" s="994"/>
      <c r="G53" s="994"/>
      <c r="H53" s="994"/>
    </row>
    <row r="54" spans="1:8" s="341" customFormat="1" ht="13.2">
      <c r="A54" s="995"/>
      <c r="B54" s="991" t="s">
        <v>387</v>
      </c>
      <c r="C54" s="997" t="s">
        <v>709</v>
      </c>
      <c r="D54" s="994"/>
      <c r="E54" s="994"/>
      <c r="F54" s="994"/>
      <c r="G54" s="994"/>
      <c r="H54" s="994"/>
    </row>
    <row r="55" spans="1:8" s="63" customFormat="1" ht="13.2">
      <c r="A55" s="996"/>
      <c r="B55" s="991"/>
      <c r="C55" s="1000" t="s">
        <v>735</v>
      </c>
      <c r="D55" s="990"/>
      <c r="E55" s="990"/>
      <c r="F55" s="990"/>
      <c r="G55" s="990"/>
      <c r="H55" s="990"/>
    </row>
    <row r="56" spans="1:8" s="63" customFormat="1" ht="26.4">
      <c r="A56" s="996"/>
      <c r="B56" s="991"/>
      <c r="C56" s="1000" t="s">
        <v>736</v>
      </c>
      <c r="D56" s="990"/>
      <c r="E56" s="990"/>
      <c r="F56" s="990"/>
      <c r="G56" s="990"/>
      <c r="H56" s="990"/>
    </row>
    <row r="57" spans="1:8" s="63" customFormat="1" ht="13.2">
      <c r="A57" s="996"/>
      <c r="B57" s="992"/>
    </row>
    <row r="58" spans="1:8" s="1002" customFormat="1" ht="15.6">
      <c r="A58" s="1214" t="s">
        <v>726</v>
      </c>
      <c r="B58" s="1214"/>
      <c r="C58" s="1214"/>
      <c r="D58" s="1001"/>
      <c r="E58" s="848"/>
      <c r="F58" s="848"/>
      <c r="G58" s="848"/>
      <c r="H58" s="848"/>
    </row>
    <row r="59" spans="1:8" s="1002" customFormat="1" ht="15.6">
      <c r="A59" s="1199"/>
      <c r="B59" s="1202" t="s">
        <v>806</v>
      </c>
      <c r="C59" s="1200" t="s">
        <v>808</v>
      </c>
      <c r="D59" s="1001"/>
      <c r="E59" s="848"/>
      <c r="F59" s="848"/>
      <c r="G59" s="848"/>
      <c r="H59" s="848"/>
    </row>
    <row r="60" spans="1:8" s="1002" customFormat="1" ht="15.6">
      <c r="A60" s="1199"/>
      <c r="B60" s="1199"/>
      <c r="C60" s="1203" t="s">
        <v>807</v>
      </c>
      <c r="D60" s="1001"/>
      <c r="E60" s="848"/>
      <c r="F60" s="848"/>
      <c r="G60" s="848"/>
      <c r="H60" s="848"/>
    </row>
    <row r="61" spans="1:8" s="986" customFormat="1" ht="13.2">
      <c r="A61" s="984"/>
      <c r="B61" s="985"/>
    </row>
    <row r="62" spans="1:8" s="989" customFormat="1" ht="13.2">
      <c r="A62" s="987"/>
      <c r="B62" s="988"/>
      <c r="C62" s="1204"/>
    </row>
    <row r="63" spans="1:8" s="986" customFormat="1" ht="13.2">
      <c r="A63" s="984"/>
      <c r="B63" s="985"/>
      <c r="C63" s="1205"/>
    </row>
    <row r="64" spans="1:8" s="63" customFormat="1" ht="13.2">
      <c r="A64" s="996"/>
      <c r="B64" s="990"/>
      <c r="C64" s="1204"/>
      <c r="D64" s="990"/>
      <c r="E64" s="990"/>
      <c r="F64" s="990"/>
      <c r="G64" s="990"/>
      <c r="H64" s="990"/>
    </row>
    <row r="65" spans="1:8" s="63" customFormat="1" ht="13.2">
      <c r="A65" s="996"/>
      <c r="B65" s="992"/>
      <c r="C65" s="1206"/>
      <c r="D65" s="990"/>
      <c r="E65" s="990"/>
      <c r="F65" s="990"/>
      <c r="G65" s="990"/>
      <c r="H65" s="990"/>
    </row>
    <row r="66" spans="1:8" s="63" customFormat="1" ht="13.2">
      <c r="A66" s="1212"/>
      <c r="B66" s="1213"/>
      <c r="C66" s="1213"/>
      <c r="D66" s="1213"/>
      <c r="E66" s="1213"/>
      <c r="F66" s="1213"/>
      <c r="G66" s="1213"/>
      <c r="H66" s="1213"/>
    </row>
    <row r="67" spans="1:8" s="63" customFormat="1" ht="13.2">
      <c r="A67" s="996"/>
      <c r="B67" s="992"/>
      <c r="C67" s="990"/>
      <c r="D67" s="990"/>
      <c r="E67" s="990"/>
      <c r="F67" s="990"/>
      <c r="G67" s="990"/>
      <c r="H67" s="990"/>
    </row>
    <row r="68" spans="1:8" s="63" customFormat="1" ht="13.2">
      <c r="A68" s="1211"/>
      <c r="B68" s="1211"/>
      <c r="C68" s="1211"/>
      <c r="D68" s="1211"/>
      <c r="E68" s="1211"/>
      <c r="F68" s="1211"/>
      <c r="G68" s="1211"/>
      <c r="H68" s="1211"/>
    </row>
    <row r="69" spans="1:8" s="63" customFormat="1" ht="13.2">
      <c r="A69" s="996"/>
      <c r="B69" s="992"/>
      <c r="C69" s="990"/>
      <c r="D69" s="990"/>
      <c r="E69" s="990"/>
      <c r="F69" s="990"/>
      <c r="G69" s="990"/>
      <c r="H69" s="990"/>
    </row>
    <row r="70" spans="1:8" s="63" customFormat="1" ht="13.2">
      <c r="A70" s="996"/>
      <c r="B70" s="992"/>
      <c r="C70" s="990"/>
      <c r="D70" s="990"/>
      <c r="E70" s="990"/>
      <c r="F70" s="990"/>
      <c r="G70" s="990"/>
      <c r="H70" s="990"/>
    </row>
    <row r="71" spans="1:8" s="63" customFormat="1" ht="13.2">
      <c r="A71" s="996"/>
      <c r="B71" s="992"/>
      <c r="C71" s="990"/>
      <c r="D71" s="990"/>
      <c r="E71" s="990"/>
      <c r="F71" s="990"/>
      <c r="G71" s="990"/>
      <c r="H71" s="990"/>
    </row>
    <row r="72" spans="1:8" s="63" customFormat="1" ht="13.2">
      <c r="A72" s="996"/>
      <c r="B72" s="992"/>
      <c r="C72" s="990"/>
      <c r="D72" s="990"/>
      <c r="E72" s="990"/>
      <c r="F72" s="990"/>
      <c r="G72" s="990"/>
      <c r="H72" s="990"/>
    </row>
    <row r="73" spans="1:8" s="63" customFormat="1" ht="13.2">
      <c r="A73" s="1003"/>
      <c r="B73" s="1004"/>
    </row>
    <row r="74" spans="1:8" s="63" customFormat="1" ht="13.2">
      <c r="A74" s="1003"/>
      <c r="B74" s="1004"/>
    </row>
    <row r="75" spans="1:8" s="63" customFormat="1" ht="13.2">
      <c r="A75" s="1003"/>
      <c r="B75" s="1004"/>
    </row>
    <row r="76" spans="1:8" s="63" customFormat="1" ht="13.2">
      <c r="A76" s="1003"/>
      <c r="B76" s="1004"/>
    </row>
    <row r="77" spans="1:8" s="63" customFormat="1" ht="13.2">
      <c r="A77" s="1003"/>
      <c r="B77" s="1004"/>
    </row>
    <row r="78" spans="1:8" s="63" customFormat="1" ht="13.2">
      <c r="A78" s="1003"/>
      <c r="B78" s="1004"/>
    </row>
    <row r="79" spans="1:8" s="63" customFormat="1" ht="13.2">
      <c r="A79" s="1003"/>
      <c r="B79" s="1004"/>
    </row>
    <row r="80" spans="1:8" s="63" customFormat="1" ht="13.2">
      <c r="A80" s="1003"/>
      <c r="B80" s="1004"/>
    </row>
    <row r="81" spans="1:2" s="63" customFormat="1" ht="13.2">
      <c r="A81" s="1003"/>
      <c r="B81" s="1004"/>
    </row>
    <row r="82" spans="1:2" s="63" customFormat="1">
      <c r="A82" s="1003"/>
      <c r="B82" s="1004"/>
    </row>
    <row r="83" spans="1:2" s="63" customFormat="1" ht="13.2">
      <c r="A83" s="1003"/>
      <c r="B83" s="1004"/>
    </row>
    <row r="84" spans="1:2" s="63" customFormat="1" ht="13.2">
      <c r="B84" s="1004"/>
    </row>
    <row r="85" spans="1:2" s="63" customFormat="1" ht="13.2">
      <c r="B85" s="1004"/>
    </row>
    <row r="86" spans="1:2" s="63" customFormat="1" ht="13.2">
      <c r="B86" s="1004"/>
    </row>
    <row r="87" spans="1:2" s="63" customFormat="1" ht="13.2">
      <c r="B87" s="1004"/>
    </row>
    <row r="88" spans="1:2" s="63" customFormat="1" ht="13.2">
      <c r="B88" s="1004"/>
    </row>
    <row r="89" spans="1:2" s="63" customFormat="1" ht="13.2">
      <c r="B89" s="1004"/>
    </row>
    <row r="90" spans="1:2" s="63" customFormat="1" ht="13.2">
      <c r="B90" s="1004"/>
    </row>
    <row r="91" spans="1:2" s="63" customFormat="1" ht="13.2">
      <c r="A91" s="1003"/>
      <c r="B91" s="1004"/>
    </row>
    <row r="92" spans="1:2" s="63" customFormat="1" ht="13.2">
      <c r="A92" s="1003"/>
      <c r="B92" s="1004"/>
    </row>
    <row r="93" spans="1:2" s="63" customFormat="1" ht="13.2">
      <c r="A93" s="1003"/>
      <c r="B93" s="1004"/>
    </row>
    <row r="94" spans="1:2" s="63" customFormat="1" ht="13.2">
      <c r="A94" s="1003"/>
      <c r="B94" s="1004"/>
    </row>
    <row r="95" spans="1:2" s="63" customFormat="1" ht="13.2">
      <c r="A95" s="1003"/>
      <c r="B95" s="1004"/>
    </row>
    <row r="96" spans="1:2" s="63" customFormat="1" ht="13.2">
      <c r="B96" s="1004"/>
    </row>
    <row r="97" spans="1:2" s="63" customFormat="1" ht="13.2">
      <c r="B97" s="1004"/>
    </row>
    <row r="98" spans="1:2" s="63" customFormat="1" ht="13.2">
      <c r="B98" s="1004"/>
    </row>
    <row r="99" spans="1:2" s="63" customFormat="1" ht="13.2">
      <c r="B99" s="1004"/>
    </row>
    <row r="100" spans="1:2" s="63" customFormat="1" ht="13.2">
      <c r="A100" s="1003"/>
      <c r="B100" s="1004"/>
    </row>
    <row r="101" spans="1:2" s="63" customFormat="1" ht="13.2">
      <c r="B101" s="1004"/>
    </row>
    <row r="102" spans="1:2" s="63" customFormat="1" ht="13.2">
      <c r="B102" s="1004"/>
    </row>
    <row r="103" spans="1:2" s="63" customFormat="1" ht="13.2">
      <c r="B103" s="1004"/>
    </row>
    <row r="104" spans="1:2" s="63" customFormat="1" ht="13.2">
      <c r="A104" s="1003"/>
      <c r="B104" s="1004"/>
    </row>
    <row r="105" spans="1:2" s="63" customFormat="1" ht="13.2">
      <c r="B105" s="1004"/>
    </row>
    <row r="106" spans="1:2" s="63" customFormat="1" ht="13.2">
      <c r="B106" s="1005"/>
    </row>
    <row r="107" spans="1:2" s="63" customFormat="1" ht="13.2">
      <c r="B107" s="1004"/>
    </row>
    <row r="108" spans="1:2" s="63" customFormat="1" ht="13.2">
      <c r="B108" s="1004"/>
    </row>
    <row r="109" spans="1:2" s="63" customFormat="1" ht="13.2">
      <c r="B109" s="1004"/>
    </row>
    <row r="110" spans="1:2" s="63" customFormat="1" ht="13.2">
      <c r="B110" s="1004"/>
    </row>
    <row r="111" spans="1:2" s="63" customFormat="1" ht="13.2">
      <c r="B111" s="1004"/>
    </row>
    <row r="112" spans="1:2" s="63" customFormat="1" ht="13.2">
      <c r="A112" s="1003"/>
      <c r="B112" s="1004"/>
    </row>
    <row r="113" spans="1:2" s="63" customFormat="1" ht="13.2">
      <c r="A113" s="1003"/>
      <c r="B113" s="1004"/>
    </row>
    <row r="114" spans="1:2" s="63" customFormat="1" ht="13.2">
      <c r="A114" s="1003"/>
      <c r="B114" s="1004"/>
    </row>
    <row r="115" spans="1:2" s="63" customFormat="1" ht="13.2">
      <c r="A115" s="1003"/>
      <c r="B115" s="1004"/>
    </row>
    <row r="116" spans="1:2" s="63" customFormat="1" ht="13.2">
      <c r="A116" s="1003"/>
      <c r="B116" s="1004"/>
    </row>
    <row r="117" spans="1:2" s="63" customFormat="1" ht="13.2">
      <c r="A117" s="1003"/>
      <c r="B117" s="1004"/>
    </row>
    <row r="118" spans="1:2" s="63" customFormat="1" ht="13.2">
      <c r="A118" s="1003"/>
      <c r="B118" s="1004"/>
    </row>
    <row r="119" spans="1:2" s="63" customFormat="1" ht="13.2">
      <c r="A119" s="1003"/>
      <c r="B119" s="1004"/>
    </row>
    <row r="120" spans="1:2" s="63" customFormat="1" ht="13.2">
      <c r="A120" s="1003"/>
      <c r="B120" s="1004"/>
    </row>
    <row r="121" spans="1:2" s="63" customFormat="1" ht="13.2">
      <c r="A121" s="1003"/>
      <c r="B121" s="1004"/>
    </row>
    <row r="122" spans="1:2" s="63" customFormat="1" ht="13.2">
      <c r="A122" s="1003"/>
      <c r="B122" s="1004"/>
    </row>
    <row r="123" spans="1:2" s="63" customFormat="1" ht="13.2">
      <c r="A123" s="1003"/>
      <c r="B123" s="1004"/>
    </row>
    <row r="124" spans="1:2" s="63" customFormat="1" ht="13.2">
      <c r="A124" s="1003"/>
      <c r="B124" s="1004"/>
    </row>
    <row r="125" spans="1:2" s="63" customFormat="1" ht="13.2">
      <c r="A125" s="1003"/>
      <c r="B125" s="1004"/>
    </row>
    <row r="126" spans="1:2" s="63" customFormat="1" ht="13.2">
      <c r="A126" s="1003"/>
      <c r="B126" s="1004"/>
    </row>
    <row r="127" spans="1:2" s="63" customFormat="1" ht="13.2">
      <c r="A127" s="1003"/>
      <c r="B127" s="1004"/>
    </row>
    <row r="128" spans="1:2" s="63" customFormat="1" ht="13.2">
      <c r="A128" s="1003"/>
      <c r="B128" s="1004"/>
    </row>
    <row r="129" spans="1:2" s="63" customFormat="1" ht="13.2">
      <c r="A129" s="1003"/>
      <c r="B129" s="1004"/>
    </row>
    <row r="130" spans="1:2" s="63" customFormat="1" ht="13.2">
      <c r="A130" s="1003"/>
      <c r="B130" s="1004"/>
    </row>
    <row r="131" spans="1:2" s="63" customFormat="1" ht="13.2">
      <c r="A131" s="1003"/>
      <c r="B131" s="1004"/>
    </row>
    <row r="132" spans="1:2" s="63" customFormat="1" ht="13.2">
      <c r="A132" s="1003"/>
      <c r="B132" s="1004"/>
    </row>
    <row r="133" spans="1:2" s="63" customFormat="1" ht="65.25" customHeight="1">
      <c r="A133" s="1003"/>
      <c r="B133" s="1004"/>
    </row>
    <row r="134" spans="1:2" s="63" customFormat="1" ht="65.25" customHeight="1">
      <c r="A134" s="1003"/>
      <c r="B134" s="1004"/>
    </row>
    <row r="135" spans="1:2" s="63" customFormat="1" ht="65.25" customHeight="1">
      <c r="A135" s="1003"/>
      <c r="B135" s="1004"/>
    </row>
    <row r="136" spans="1:2" s="63" customFormat="1" ht="65.25" customHeight="1">
      <c r="A136" s="1003"/>
      <c r="B136" s="1004"/>
    </row>
    <row r="137" spans="1:2" s="63" customFormat="1" ht="65.25" customHeight="1">
      <c r="A137" s="1003"/>
      <c r="B137" s="1004"/>
    </row>
    <row r="138" spans="1:2" s="63" customFormat="1" ht="65.25" customHeight="1">
      <c r="A138" s="1003"/>
      <c r="B138" s="1004"/>
    </row>
    <row r="139" spans="1:2" s="63" customFormat="1" ht="65.25" customHeight="1">
      <c r="A139" s="1003"/>
      <c r="B139" s="1004"/>
    </row>
    <row r="140" spans="1:2" s="63" customFormat="1" ht="65.25" customHeight="1">
      <c r="A140" s="1003"/>
      <c r="B140" s="1004"/>
    </row>
    <row r="141" spans="1:2" s="63" customFormat="1" ht="65.25" customHeight="1">
      <c r="A141" s="1003"/>
      <c r="B141" s="1004"/>
    </row>
    <row r="142" spans="1:2" s="63" customFormat="1" ht="65.25" customHeight="1">
      <c r="A142" s="1003"/>
      <c r="B142" s="1004"/>
    </row>
    <row r="143" spans="1:2" s="63" customFormat="1" ht="65.25" customHeight="1">
      <c r="A143" s="1003"/>
      <c r="B143" s="1004"/>
    </row>
    <row r="144" spans="1:2" s="63" customFormat="1" ht="65.25" customHeight="1">
      <c r="A144" s="1003"/>
      <c r="B144" s="1004"/>
    </row>
    <row r="145" spans="1:2" s="63" customFormat="1" ht="65.25" customHeight="1">
      <c r="A145" s="1003"/>
      <c r="B145" s="1004"/>
    </row>
    <row r="146" spans="1:2" s="63" customFormat="1" ht="65.25" customHeight="1">
      <c r="A146" s="1003"/>
      <c r="B146" s="1004"/>
    </row>
    <row r="147" spans="1:2" s="63" customFormat="1" ht="65.25" customHeight="1">
      <c r="A147" s="1003"/>
      <c r="B147" s="1004"/>
    </row>
    <row r="148" spans="1:2" s="63" customFormat="1" ht="65.25" customHeight="1">
      <c r="A148" s="1003"/>
      <c r="B148" s="1004"/>
    </row>
    <row r="149" spans="1:2" s="63" customFormat="1" ht="65.25" customHeight="1">
      <c r="A149" s="1003"/>
      <c r="B149" s="1004"/>
    </row>
    <row r="150" spans="1:2" ht="65.25" customHeight="1">
      <c r="A150" s="16"/>
    </row>
    <row r="151" spans="1:2" ht="65.25" customHeight="1">
      <c r="A151" s="16"/>
    </row>
    <row r="152" spans="1:2" ht="65.25" customHeight="1">
      <c r="A152" s="16"/>
    </row>
    <row r="153" spans="1:2" ht="65.25" customHeight="1">
      <c r="A153" s="16"/>
    </row>
    <row r="154" spans="1:2" ht="65.25" customHeight="1">
      <c r="A154" s="16"/>
    </row>
    <row r="155" spans="1:2" ht="65.25" customHeight="1">
      <c r="A155" s="16"/>
    </row>
    <row r="156" spans="1:2" ht="65.25" customHeight="1">
      <c r="A156" s="16"/>
    </row>
    <row r="157" spans="1:2" ht="65.25" customHeight="1">
      <c r="A157" s="16"/>
    </row>
    <row r="158" spans="1:2" ht="65.25" customHeight="1">
      <c r="A158" s="16"/>
    </row>
    <row r="159" spans="1:2" ht="65.25" customHeight="1">
      <c r="A159" s="16"/>
    </row>
    <row r="160" spans="1:2" ht="65.25" customHeight="1">
      <c r="A160" s="16"/>
    </row>
    <row r="161" spans="1:1" ht="65.25" customHeight="1">
      <c r="A161" s="16"/>
    </row>
    <row r="162" spans="1:1" ht="65.25" customHeight="1">
      <c r="A162" s="16"/>
    </row>
    <row r="163" spans="1:1" ht="65.25" customHeight="1">
      <c r="A163" s="16"/>
    </row>
    <row r="164" spans="1:1" ht="65.25" customHeight="1">
      <c r="A164" s="16"/>
    </row>
    <row r="165" spans="1:1">
      <c r="A165" s="16"/>
    </row>
    <row r="166" spans="1:1">
      <c r="A166" s="16"/>
    </row>
    <row r="167" spans="1:1">
      <c r="A167" s="16"/>
    </row>
    <row r="168" spans="1:1">
      <c r="A168" s="16"/>
    </row>
    <row r="169" spans="1:1">
      <c r="A169" s="16"/>
    </row>
    <row r="170" spans="1:1">
      <c r="A170" s="16"/>
    </row>
    <row r="171" spans="1:1">
      <c r="A171" s="16"/>
    </row>
    <row r="172" spans="1:1">
      <c r="A172" s="16"/>
    </row>
    <row r="173" spans="1:1">
      <c r="A173" s="16"/>
    </row>
    <row r="174" spans="1:1">
      <c r="A174" s="16"/>
    </row>
    <row r="175" spans="1:1">
      <c r="A175" s="16"/>
    </row>
    <row r="176" spans="1:1">
      <c r="A176" s="16"/>
    </row>
    <row r="177" spans="1:1">
      <c r="A177" s="16"/>
    </row>
    <row r="178" spans="1:1">
      <c r="A178" s="16"/>
    </row>
    <row r="179" spans="1:1">
      <c r="A179" s="16"/>
    </row>
    <row r="180" spans="1:1">
      <c r="A180" s="16"/>
    </row>
    <row r="181" spans="1:1">
      <c r="A181" s="16"/>
    </row>
    <row r="182" spans="1:1">
      <c r="A182" s="16"/>
    </row>
    <row r="183" spans="1:1">
      <c r="A183" s="16"/>
    </row>
    <row r="184" spans="1:1">
      <c r="A184" s="16"/>
    </row>
    <row r="185" spans="1:1">
      <c r="A185" s="16"/>
    </row>
    <row r="186" spans="1:1">
      <c r="A186" s="16"/>
    </row>
    <row r="187" spans="1:1">
      <c r="A187" s="16"/>
    </row>
    <row r="188" spans="1:1">
      <c r="A188" s="16"/>
    </row>
    <row r="189" spans="1:1">
      <c r="A189" s="16"/>
    </row>
    <row r="190" spans="1:1">
      <c r="A190" s="16"/>
    </row>
    <row r="191" spans="1:1">
      <c r="A191" s="16"/>
    </row>
    <row r="192" spans="1:1">
      <c r="A192" s="16"/>
    </row>
  </sheetData>
  <mergeCells count="25">
    <mergeCell ref="G52:H52"/>
    <mergeCell ref="A52:C52"/>
    <mergeCell ref="D52:F52"/>
    <mergeCell ref="A49:C49"/>
    <mergeCell ref="D25:F25"/>
    <mergeCell ref="G25:H25"/>
    <mergeCell ref="A32:C32"/>
    <mergeCell ref="D32:F32"/>
    <mergeCell ref="G43:H43"/>
    <mergeCell ref="G32:H32"/>
    <mergeCell ref="A68:H68"/>
    <mergeCell ref="A66:H66"/>
    <mergeCell ref="A58:C58"/>
    <mergeCell ref="G22:H22"/>
    <mergeCell ref="A25:C25"/>
    <mergeCell ref="A40:C40"/>
    <mergeCell ref="D40:F40"/>
    <mergeCell ref="A43:C43"/>
    <mergeCell ref="D43:F43"/>
    <mergeCell ref="G40:H40"/>
    <mergeCell ref="A1:C1"/>
    <mergeCell ref="A3:C3"/>
    <mergeCell ref="A17:C17"/>
    <mergeCell ref="A22:C22"/>
    <mergeCell ref="D22:F22"/>
  </mergeCells>
  <phoneticPr fontId="0" type="noConversion"/>
  <hyperlinks>
    <hyperlink ref="C60" r:id="rId1" xr:uid="{D6902E6E-A38A-410A-9AFA-05411277FA62}"/>
  </hyperlinks>
  <printOptions horizontalCentered="1"/>
  <pageMargins left="0.5" right="0.5" top="0.75" bottom="0.9" header="0.5" footer="0.5"/>
  <pageSetup scale="93" fitToHeight="2" orientation="portrait" horizontalDpi="300" r:id="rId2"/>
  <headerFooter alignWithMargins="0">
    <oddFooter>&amp;L&amp;10&amp;F
&amp;A&amp;R&amp;10Louisville Metro Government
Page &amp;P of &amp;N</oddFooter>
  </headerFooter>
  <rowBreaks count="1" manualBreakCount="1">
    <brk id="3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413"/>
  <sheetViews>
    <sheetView workbookViewId="0">
      <selection activeCell="B2" sqref="B2:F2"/>
    </sheetView>
  </sheetViews>
  <sheetFormatPr defaultColWidth="8.90625" defaultRowHeight="15"/>
  <cols>
    <col min="1" max="1" width="1" style="74" customWidth="1"/>
    <col min="2" max="2" width="55.90625" style="1" bestFit="1" customWidth="1"/>
    <col min="3" max="3" width="11.1796875" style="1" customWidth="1"/>
    <col min="4" max="4" width="7.453125" style="1" customWidth="1"/>
    <col min="5" max="5" width="39.36328125" style="74" bestFit="1" customWidth="1"/>
    <col min="6" max="6" width="13" style="74" customWidth="1"/>
    <col min="7" max="7" width="42.90625" style="74" bestFit="1" customWidth="1"/>
    <col min="8" max="8" width="9" style="74" bestFit="1" customWidth="1"/>
    <col min="9" max="52" width="8.90625" style="74"/>
    <col min="53" max="16384" width="8.90625" style="1"/>
  </cols>
  <sheetData>
    <row r="1" spans="1:52" ht="22.8">
      <c r="B1" s="1246">
        <f>Project</f>
        <v>0</v>
      </c>
      <c r="C1" s="1246"/>
      <c r="D1" s="1246"/>
      <c r="E1" s="1246"/>
      <c r="F1" s="1246"/>
      <c r="H1" s="898"/>
    </row>
    <row r="2" spans="1:52" ht="22.8">
      <c r="B2" s="1246" t="s">
        <v>687</v>
      </c>
      <c r="C2" s="1246"/>
      <c r="D2" s="1246"/>
      <c r="E2" s="1246"/>
      <c r="F2" s="1246"/>
      <c r="H2" s="898"/>
    </row>
    <row r="3" spans="1:52" s="65" customFormat="1" ht="13.8">
      <c r="G3" s="142"/>
    </row>
    <row r="4" spans="1:52" s="65" customFormat="1" ht="15.6">
      <c r="B4" s="300" t="s">
        <v>686</v>
      </c>
      <c r="E4" s="1446" t="s">
        <v>685</v>
      </c>
      <c r="F4" s="1446"/>
      <c r="G4" s="142"/>
    </row>
    <row r="5" spans="1:52" s="23" customFormat="1" ht="13.8">
      <c r="A5" s="65"/>
      <c r="B5" s="645" t="s">
        <v>684</v>
      </c>
      <c r="C5" s="896">
        <f>'3)Income'!I78</f>
        <v>0</v>
      </c>
      <c r="D5" s="65"/>
      <c r="E5" s="645" t="s">
        <v>678</v>
      </c>
      <c r="F5" s="874"/>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row>
    <row r="6" spans="1:52" s="23" customFormat="1" ht="13.8">
      <c r="A6" s="65"/>
      <c r="B6" s="65" t="s">
        <v>683</v>
      </c>
      <c r="C6" s="895">
        <f>Units</f>
        <v>0</v>
      </c>
      <c r="D6" s="65"/>
      <c r="E6" s="348" t="s">
        <v>669</v>
      </c>
      <c r="F6" s="894">
        <f>'2)Sources &amp; Uses'!H173</f>
        <v>0</v>
      </c>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row>
    <row r="7" spans="1:52" s="23" customFormat="1" ht="13.8">
      <c r="A7" s="65"/>
      <c r="B7" s="348" t="s">
        <v>664</v>
      </c>
      <c r="C7" s="893" t="str">
        <f>IF(C6=0,"0",C5/C6)</f>
        <v>0</v>
      </c>
      <c r="D7" s="65"/>
      <c r="E7" s="886" t="s">
        <v>682</v>
      </c>
      <c r="F7" s="885">
        <f>MIN(F5,F6)</f>
        <v>0</v>
      </c>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row>
    <row r="8" spans="1:52" s="23" customFormat="1" ht="13.8">
      <c r="A8" s="65"/>
      <c r="B8" s="65" t="s">
        <v>681</v>
      </c>
      <c r="C8" s="892">
        <f>'3)Income'!I79</f>
        <v>0</v>
      </c>
      <c r="E8" s="189"/>
      <c r="F8" s="189"/>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row>
    <row r="9" spans="1:52" s="23" customFormat="1" ht="15.6">
      <c r="A9" s="65"/>
      <c r="B9" s="65" t="s">
        <v>680</v>
      </c>
      <c r="C9" s="865">
        <f>TotalSqFt</f>
        <v>0</v>
      </c>
      <c r="D9" s="65"/>
      <c r="E9" s="1447" t="s">
        <v>679</v>
      </c>
      <c r="F9" s="1447"/>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row>
    <row r="10" spans="1:52" s="23" customFormat="1" ht="13.8">
      <c r="A10" s="65"/>
      <c r="B10" s="348" t="s">
        <v>664</v>
      </c>
      <c r="C10" s="891">
        <f>IF(C9=0,0,C8/C9)</f>
        <v>0</v>
      </c>
      <c r="D10" s="65"/>
      <c r="E10" s="890" t="s">
        <v>678</v>
      </c>
      <c r="F10" s="889"/>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row>
    <row r="11" spans="1:52" s="23" customFormat="1" ht="13.8">
      <c r="A11" s="65"/>
      <c r="B11" s="65"/>
      <c r="C11" s="888"/>
      <c r="D11" s="65"/>
      <c r="E11" s="863" t="s">
        <v>669</v>
      </c>
      <c r="F11" s="887">
        <f>'2)Sources &amp; Uses'!G173</f>
        <v>0</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row>
    <row r="12" spans="1:52" s="23" customFormat="1" ht="15.6">
      <c r="A12" s="65"/>
      <c r="B12" s="300" t="s">
        <v>677</v>
      </c>
      <c r="C12" s="65"/>
      <c r="D12" s="65"/>
      <c r="E12" s="886" t="s">
        <v>676</v>
      </c>
      <c r="F12" s="885">
        <f>MIN(F10,F11)</f>
        <v>0</v>
      </c>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row>
    <row r="13" spans="1:52" s="23" customFormat="1" ht="13.8">
      <c r="A13" s="65"/>
      <c r="B13" s="645" t="s">
        <v>675</v>
      </c>
      <c r="C13" s="884">
        <f>TDC</f>
        <v>0</v>
      </c>
      <c r="D13" s="65"/>
      <c r="E13" s="65"/>
      <c r="F13" s="867"/>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row>
    <row r="14" spans="1:52" s="23" customFormat="1" ht="15.6">
      <c r="A14" s="65"/>
      <c r="B14" s="65" t="s">
        <v>674</v>
      </c>
      <c r="C14" s="867">
        <f>SUM('2)Sources &amp; Uses'!F15:F19)+(SUM('2)Sources &amp; Uses'!F23:F33))</f>
        <v>0</v>
      </c>
      <c r="D14" s="65"/>
      <c r="E14" s="1446" t="s">
        <v>673</v>
      </c>
      <c r="F14" s="1446"/>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row>
    <row r="15" spans="1:52" s="23" customFormat="1" ht="13.8">
      <c r="A15" s="65"/>
      <c r="B15" s="65" t="s">
        <v>672</v>
      </c>
      <c r="C15" s="867">
        <f>+C13-C14</f>
        <v>0</v>
      </c>
      <c r="D15" s="65"/>
      <c r="E15" s="645" t="s">
        <v>671</v>
      </c>
      <c r="F15" s="883" t="e">
        <f>+C20</f>
        <v>#DIV/0!</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row>
    <row r="16" spans="1:52" s="23" customFormat="1" ht="13.8">
      <c r="A16" s="65"/>
      <c r="B16" s="65" t="s">
        <v>670</v>
      </c>
      <c r="C16" s="882">
        <f>'2)Sources &amp; Uses'!J33</f>
        <v>0</v>
      </c>
      <c r="D16" s="65"/>
      <c r="E16" s="65" t="s">
        <v>669</v>
      </c>
      <c r="F16" s="867">
        <f>F7+F12</f>
        <v>0</v>
      </c>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row>
    <row r="17" spans="1:52" s="23" customFormat="1" ht="13.8">
      <c r="A17" s="65"/>
      <c r="B17" s="23" t="s">
        <v>668</v>
      </c>
      <c r="C17" s="881"/>
      <c r="D17" s="65"/>
      <c r="E17" s="348" t="s">
        <v>667</v>
      </c>
      <c r="F17" s="869">
        <f>+C26</f>
        <v>0</v>
      </c>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row>
    <row r="18" spans="1:52" s="23" customFormat="1" ht="13.8">
      <c r="A18" s="65"/>
      <c r="B18" s="65" t="s">
        <v>666</v>
      </c>
      <c r="C18" s="867" t="e">
        <f>IFERROR(C15/C16,0)/C17</f>
        <v>#DIV/0!</v>
      </c>
      <c r="D18" s="65"/>
      <c r="E18" s="189" t="s">
        <v>665</v>
      </c>
      <c r="F18" s="880" t="e">
        <f>MIN(F15:F17)</f>
        <v>#DIV/0!</v>
      </c>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row>
    <row r="19" spans="1:52" s="23" customFormat="1" ht="13.8">
      <c r="A19" s="65"/>
      <c r="B19" s="65" t="s">
        <v>664</v>
      </c>
      <c r="C19" s="864">
        <f>MIN(C7,C10)</f>
        <v>0</v>
      </c>
      <c r="D19" s="65"/>
      <c r="E19" s="879" t="s">
        <v>663</v>
      </c>
      <c r="F19" s="869">
        <f>C35</f>
        <v>0</v>
      </c>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row>
    <row r="20" spans="1:52" s="23" customFormat="1" ht="15.6">
      <c r="A20" s="65"/>
      <c r="B20" s="878" t="s">
        <v>662</v>
      </c>
      <c r="C20" s="877" t="e">
        <f>C18*C19/10</f>
        <v>#DIV/0!</v>
      </c>
      <c r="D20" s="65"/>
      <c r="E20" s="876" t="s">
        <v>661</v>
      </c>
      <c r="F20" s="875" t="e">
        <f>F18+F19</f>
        <v>#DIV/0!</v>
      </c>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row>
    <row r="21" spans="1:52" s="23" customFormat="1" ht="13.8">
      <c r="A21" s="65"/>
      <c r="B21" s="65"/>
      <c r="C21" s="65"/>
      <c r="D21" s="65"/>
      <c r="E21" s="859"/>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row>
    <row r="22" spans="1:52" s="23" customFormat="1" ht="15.6">
      <c r="A22" s="65"/>
      <c r="B22" s="300" t="s">
        <v>660</v>
      </c>
      <c r="C22" s="65"/>
      <c r="D22" s="65"/>
      <c r="E22" s="687"/>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row>
    <row r="23" spans="1:52" s="23" customFormat="1" ht="13.8">
      <c r="A23" s="65"/>
      <c r="B23" s="645" t="s">
        <v>659</v>
      </c>
      <c r="C23" s="874"/>
      <c r="D23" s="65"/>
      <c r="E23" s="873"/>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row>
    <row r="24" spans="1:52" s="23" customFormat="1" ht="13.8">
      <c r="A24" s="65"/>
      <c r="B24" s="349" t="s">
        <v>658</v>
      </c>
      <c r="C24" s="867"/>
      <c r="D24" s="65"/>
      <c r="E24" s="873"/>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row>
    <row r="25" spans="1:52" s="23" customFormat="1" ht="13.8">
      <c r="A25" s="65"/>
      <c r="B25" s="348" t="s">
        <v>657</v>
      </c>
      <c r="C25" s="872">
        <f>'3)Income'!I78</f>
        <v>0</v>
      </c>
      <c r="D25" s="65"/>
      <c r="E25" s="65"/>
      <c r="F25" s="65"/>
      <c r="G25" s="101"/>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row>
    <row r="26" spans="1:52" s="23" customFormat="1" ht="13.8">
      <c r="A26" s="65"/>
      <c r="B26" s="101" t="s">
        <v>656</v>
      </c>
      <c r="C26" s="858">
        <f>C23*C25</f>
        <v>0</v>
      </c>
      <c r="D26" s="65"/>
      <c r="E26" s="859"/>
      <c r="F26" s="65"/>
      <c r="G26" s="101"/>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row>
    <row r="27" spans="1:52" s="23" customFormat="1" ht="13.8">
      <c r="A27" s="65"/>
      <c r="B27" s="871"/>
      <c r="C27" s="865"/>
      <c r="D27" s="65"/>
      <c r="E27" s="859"/>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row>
    <row r="28" spans="1:52" s="23" customFormat="1" ht="15.6">
      <c r="A28" s="65"/>
      <c r="B28" s="300" t="s">
        <v>655</v>
      </c>
      <c r="C28" s="867"/>
      <c r="D28" s="65"/>
      <c r="E28" s="859"/>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row>
    <row r="29" spans="1:52" s="23" customFormat="1" ht="13.8">
      <c r="A29" s="65"/>
      <c r="B29" s="870" t="s">
        <v>654</v>
      </c>
      <c r="C29" s="869"/>
      <c r="D29" s="65"/>
      <c r="E29" s="859"/>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row>
    <row r="30" spans="1:52" s="23" customFormat="1" ht="13.8">
      <c r="A30" s="65"/>
      <c r="B30" s="65" t="s">
        <v>653</v>
      </c>
      <c r="C30" s="868"/>
      <c r="D30" s="65"/>
      <c r="E30" s="859"/>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row>
    <row r="31" spans="1:52" s="23" customFormat="1" ht="13.8">
      <c r="A31" s="65"/>
      <c r="B31" s="65" t="s">
        <v>652</v>
      </c>
      <c r="C31" s="867">
        <f>C30*C23</f>
        <v>0</v>
      </c>
      <c r="D31" s="65"/>
      <c r="E31" s="859"/>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row>
    <row r="32" spans="1:52" s="23" customFormat="1" ht="13.8">
      <c r="A32" s="65"/>
      <c r="B32" s="65" t="s">
        <v>651</v>
      </c>
      <c r="C32" s="866"/>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row>
    <row r="33" spans="1:52" s="23" customFormat="1" ht="13.8">
      <c r="A33" s="65"/>
      <c r="B33" s="65" t="s">
        <v>650</v>
      </c>
      <c r="C33" s="865">
        <f>C9</f>
        <v>0</v>
      </c>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row>
    <row r="34" spans="1:52" s="23" customFormat="1" ht="13.8">
      <c r="A34" s="65"/>
      <c r="B34" s="65" t="s">
        <v>649</v>
      </c>
      <c r="C34" s="1017">
        <f>IFERROR(C32/C33,0)</f>
        <v>0</v>
      </c>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row>
    <row r="35" spans="1:52" s="23" customFormat="1" ht="13.8">
      <c r="A35" s="65"/>
      <c r="B35" s="863" t="s">
        <v>648</v>
      </c>
      <c r="C35" s="862">
        <f>IF(C34&lt;25%,(C34*C31+C31),(25%*C31+C31))</f>
        <v>0</v>
      </c>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row>
    <row r="36" spans="1:52" s="23" customFormat="1" ht="13.8">
      <c r="A36" s="65"/>
      <c r="B36" s="349" t="s">
        <v>647</v>
      </c>
      <c r="C36" s="861"/>
      <c r="D36" s="860"/>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row>
    <row r="37" spans="1:52" s="23" customFormat="1" ht="13.8">
      <c r="A37" s="65"/>
      <c r="B37" s="859"/>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row>
    <row r="38" spans="1:52" s="23" customFormat="1" ht="13.8">
      <c r="A38" s="65"/>
      <c r="B38" s="101"/>
      <c r="C38" s="858"/>
      <c r="D38" s="101"/>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row>
    <row r="39" spans="1:52" s="23" customFormat="1" ht="13.8">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row>
    <row r="40" spans="1:52" s="23" customFormat="1" ht="13.8">
      <c r="A40" s="65"/>
      <c r="B40" s="273">
        <f>'[1]A)Application'!R48</f>
        <v>0</v>
      </c>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row>
    <row r="41" spans="1:52" s="23" customFormat="1" ht="13.8">
      <c r="A41" s="65"/>
      <c r="B41" s="101"/>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row>
    <row r="42" spans="1:52" s="23" customFormat="1" ht="13.8">
      <c r="A42" s="65"/>
      <c r="B42" s="65"/>
      <c r="C42" s="65"/>
      <c r="D42" s="101"/>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row>
    <row r="43" spans="1:52" s="23" customFormat="1" ht="13.8">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23" customFormat="1" ht="13.8">
      <c r="A44" s="65"/>
      <c r="B44" s="65"/>
      <c r="C44" s="772"/>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s="23" customFormat="1" ht="13.8">
      <c r="A45" s="65"/>
      <c r="B45" s="65"/>
      <c r="C45" s="857"/>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row>
    <row r="46" spans="1:52" s="23" customFormat="1" ht="13.8">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row>
    <row r="47" spans="1:52" s="23" customFormat="1">
      <c r="A47" s="65"/>
      <c r="B47" s="74"/>
      <c r="C47" s="74"/>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row>
    <row r="48" spans="1:52" s="23" customFormat="1">
      <c r="A48" s="65"/>
      <c r="B48" s="74"/>
      <c r="C48" s="74"/>
      <c r="D48" s="65"/>
      <c r="E48" s="65"/>
      <c r="F48" s="65"/>
      <c r="G48" s="74"/>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row>
    <row r="49" spans="2:6">
      <c r="B49" s="74"/>
      <c r="C49" s="856"/>
      <c r="D49" s="74"/>
      <c r="E49" s="65"/>
      <c r="F49" s="65"/>
    </row>
    <row r="50" spans="2:6">
      <c r="B50" s="74"/>
      <c r="C50" s="74"/>
      <c r="D50" s="74"/>
    </row>
    <row r="51" spans="2:6">
      <c r="B51" s="74"/>
      <c r="C51" s="74"/>
      <c r="D51" s="74"/>
    </row>
    <row r="52" spans="2:6">
      <c r="B52" s="74"/>
      <c r="C52" s="74"/>
      <c r="D52" s="74"/>
    </row>
    <row r="53" spans="2:6">
      <c r="B53" s="74"/>
      <c r="C53" s="74"/>
      <c r="D53" s="74"/>
    </row>
    <row r="54" spans="2:6">
      <c r="B54" s="74"/>
      <c r="C54" s="74"/>
      <c r="D54" s="74"/>
    </row>
    <row r="55" spans="2:6">
      <c r="B55" s="74"/>
      <c r="C55" s="74"/>
      <c r="D55" s="74"/>
    </row>
    <row r="56" spans="2:6">
      <c r="B56" s="74"/>
      <c r="C56" s="74"/>
      <c r="D56" s="74"/>
    </row>
    <row r="57" spans="2:6">
      <c r="B57" s="74"/>
      <c r="C57" s="74"/>
      <c r="D57" s="74"/>
    </row>
    <row r="58" spans="2:6">
      <c r="B58" s="74"/>
      <c r="C58" s="74"/>
      <c r="D58" s="74"/>
    </row>
    <row r="59" spans="2:6">
      <c r="B59" s="74"/>
      <c r="C59" s="74"/>
      <c r="D59" s="74"/>
    </row>
    <row r="60" spans="2:6">
      <c r="B60" s="74"/>
      <c r="C60" s="74"/>
      <c r="D60" s="74"/>
    </row>
    <row r="61" spans="2:6">
      <c r="B61" s="74"/>
      <c r="C61" s="74"/>
      <c r="D61" s="74"/>
    </row>
    <row r="62" spans="2:6" s="74" customFormat="1"/>
    <row r="63" spans="2:6" s="74" customFormat="1"/>
    <row r="64" spans="2:6" s="74" customFormat="1"/>
    <row r="65" s="74" customFormat="1"/>
    <row r="66" s="74" customFormat="1"/>
    <row r="67" s="74" customFormat="1"/>
    <row r="68" s="74" customFormat="1"/>
    <row r="69" s="74" customFormat="1"/>
    <row r="70" s="74" customFormat="1"/>
    <row r="71" s="74" customFormat="1"/>
    <row r="72" s="74" customFormat="1"/>
    <row r="73" s="74" customFormat="1"/>
    <row r="74" s="74" customFormat="1"/>
    <row r="75" s="74" customFormat="1"/>
    <row r="76" s="74" customFormat="1"/>
    <row r="77" s="74" customFormat="1"/>
    <row r="78" s="74" customFormat="1"/>
    <row r="79" s="74" customFormat="1"/>
    <row r="80" s="74" customFormat="1"/>
    <row r="81" s="74" customFormat="1"/>
    <row r="82" s="74" customFormat="1"/>
    <row r="83" s="74" customFormat="1"/>
    <row r="84" s="74" customFormat="1"/>
    <row r="85" s="74" customFormat="1"/>
    <row r="86" s="74" customFormat="1"/>
    <row r="87" s="74" customFormat="1"/>
    <row r="88" s="74" customFormat="1"/>
    <row r="89" s="74" customFormat="1"/>
    <row r="90" s="74" customFormat="1"/>
    <row r="91" s="74" customFormat="1"/>
    <row r="92" s="74" customFormat="1"/>
    <row r="93" s="74" customFormat="1"/>
    <row r="94" s="74" customFormat="1"/>
    <row r="95" s="74" customFormat="1"/>
    <row r="96" s="74" customFormat="1"/>
    <row r="97" s="74" customFormat="1"/>
    <row r="98" s="74" customFormat="1"/>
    <row r="99" s="74" customFormat="1"/>
    <row r="100" s="74" customFormat="1"/>
    <row r="101" s="74" customFormat="1"/>
    <row r="102" s="74" customFormat="1"/>
    <row r="103" s="74" customFormat="1"/>
    <row r="104" s="74" customFormat="1"/>
    <row r="105" s="74" customFormat="1"/>
    <row r="106" s="74" customFormat="1"/>
    <row r="107" s="74" customFormat="1"/>
    <row r="108" s="74" customFormat="1"/>
    <row r="109" s="74" customFormat="1"/>
    <row r="110" s="74" customFormat="1"/>
    <row r="111" s="74" customFormat="1"/>
    <row r="112" s="74" customFormat="1"/>
    <row r="113" s="74" customFormat="1"/>
    <row r="114" s="74" customFormat="1"/>
    <row r="115" s="74" customFormat="1"/>
    <row r="116" s="74" customFormat="1"/>
    <row r="117" s="74" customFormat="1"/>
    <row r="118" s="74" customFormat="1"/>
    <row r="119" s="74" customFormat="1"/>
    <row r="120" s="74" customFormat="1"/>
    <row r="121" s="74" customFormat="1"/>
    <row r="122" s="74" customFormat="1"/>
    <row r="123" s="74" customFormat="1"/>
    <row r="124" s="74" customFormat="1"/>
    <row r="125" s="74" customFormat="1"/>
    <row r="126" s="74" customFormat="1"/>
    <row r="127" s="74" customFormat="1"/>
    <row r="128" s="74" customFormat="1"/>
    <row r="129" s="74" customFormat="1"/>
    <row r="130" s="74" customFormat="1"/>
    <row r="131" s="74" customFormat="1"/>
    <row r="132" s="74" customFormat="1"/>
    <row r="133" s="74" customFormat="1"/>
    <row r="134" s="74" customFormat="1"/>
    <row r="135" s="74" customFormat="1"/>
    <row r="136" s="74" customFormat="1"/>
    <row r="137" s="74" customFormat="1"/>
    <row r="138" s="74" customFormat="1"/>
    <row r="139" s="74" customFormat="1"/>
    <row r="140" s="74" customFormat="1"/>
    <row r="141" s="74" customFormat="1"/>
    <row r="142" s="74" customFormat="1"/>
    <row r="143" s="74" customFormat="1"/>
    <row r="144" s="74" customFormat="1"/>
    <row r="145" s="74" customFormat="1"/>
    <row r="146" s="74" customFormat="1"/>
    <row r="147" s="74" customFormat="1"/>
    <row r="148" s="74" customFormat="1"/>
    <row r="149" s="74" customFormat="1"/>
    <row r="150" s="74" customFormat="1"/>
    <row r="151" s="74" customFormat="1"/>
    <row r="152" s="74" customFormat="1"/>
    <row r="153" s="74" customFormat="1"/>
    <row r="154" s="74" customFormat="1"/>
    <row r="155" s="74" customFormat="1"/>
    <row r="156" s="74" customFormat="1"/>
    <row r="157" s="74" customFormat="1"/>
    <row r="158" s="74" customFormat="1"/>
    <row r="159" s="74" customFormat="1"/>
    <row r="160" s="74" customFormat="1"/>
    <row r="161" s="74" customFormat="1"/>
    <row r="162" s="74" customFormat="1"/>
    <row r="163" s="74" customFormat="1"/>
    <row r="164" s="74" customFormat="1"/>
    <row r="165" s="74" customFormat="1"/>
    <row r="166" s="74" customFormat="1"/>
    <row r="167" s="74" customFormat="1"/>
    <row r="168" s="74" customFormat="1"/>
    <row r="169" s="74" customFormat="1"/>
    <row r="170" s="74" customFormat="1"/>
    <row r="171" s="74" customFormat="1"/>
    <row r="172" s="74" customFormat="1"/>
    <row r="173" s="74" customFormat="1"/>
    <row r="174" s="74" customFormat="1"/>
    <row r="175" s="74" customFormat="1"/>
    <row r="176" s="74" customFormat="1"/>
    <row r="177" s="74" customFormat="1"/>
    <row r="178" s="74" customFormat="1"/>
    <row r="179" s="74" customFormat="1"/>
    <row r="180" s="74" customFormat="1"/>
    <row r="181" s="74" customFormat="1"/>
    <row r="182" s="74" customFormat="1"/>
    <row r="183" s="74" customFormat="1"/>
    <row r="184" s="74" customFormat="1"/>
    <row r="185" s="74" customFormat="1"/>
    <row r="186" s="74" customFormat="1"/>
    <row r="187" s="74" customFormat="1"/>
    <row r="188" s="74" customFormat="1"/>
    <row r="189" s="74" customFormat="1"/>
    <row r="190" s="74" customFormat="1"/>
    <row r="191" s="74" customFormat="1"/>
    <row r="192" s="74" customFormat="1"/>
    <row r="193" s="74" customFormat="1"/>
    <row r="194" s="74" customFormat="1"/>
    <row r="195" s="74" customFormat="1"/>
    <row r="196" s="74" customFormat="1"/>
    <row r="197" s="74" customFormat="1"/>
    <row r="198" s="74" customFormat="1"/>
    <row r="199" s="74" customFormat="1"/>
    <row r="200" s="74" customFormat="1"/>
    <row r="201" s="74" customFormat="1"/>
    <row r="202" s="74" customFormat="1"/>
    <row r="203" s="74" customFormat="1"/>
    <row r="204" s="74" customFormat="1"/>
    <row r="205" s="74" customFormat="1"/>
    <row r="206" s="74" customFormat="1"/>
    <row r="207" s="74" customFormat="1"/>
    <row r="208" s="74" customFormat="1"/>
    <row r="209" s="74" customFormat="1"/>
    <row r="210" s="74" customFormat="1"/>
    <row r="211" s="74" customFormat="1"/>
    <row r="212" s="74" customFormat="1"/>
    <row r="213" s="74" customFormat="1"/>
    <row r="214" s="74" customFormat="1"/>
    <row r="215" s="74" customFormat="1"/>
    <row r="216" s="74" customFormat="1"/>
    <row r="217" s="74" customFormat="1"/>
    <row r="218" s="74" customFormat="1"/>
    <row r="219" s="74" customFormat="1"/>
    <row r="220" s="74" customFormat="1"/>
    <row r="221" s="74" customFormat="1"/>
    <row r="222" s="74" customFormat="1"/>
    <row r="223" s="74" customFormat="1"/>
    <row r="224" s="74" customFormat="1"/>
    <row r="225" s="74" customFormat="1"/>
    <row r="226" s="74" customFormat="1"/>
    <row r="227" s="74" customFormat="1"/>
    <row r="228" s="74" customFormat="1"/>
    <row r="229" s="74" customFormat="1"/>
    <row r="230" s="74" customFormat="1"/>
    <row r="231" s="74" customFormat="1"/>
    <row r="232" s="74" customFormat="1"/>
    <row r="233" s="74" customFormat="1"/>
    <row r="234" s="74" customFormat="1"/>
    <row r="235" s="74" customFormat="1"/>
    <row r="236" s="74" customFormat="1"/>
    <row r="237" s="74" customFormat="1"/>
    <row r="238" s="74" customFormat="1"/>
    <row r="239" s="74" customFormat="1"/>
    <row r="240" s="74" customFormat="1"/>
    <row r="241" s="74" customFormat="1"/>
    <row r="242" s="74" customFormat="1"/>
    <row r="243" s="74" customFormat="1"/>
    <row r="244" s="74" customFormat="1"/>
    <row r="245" s="74" customFormat="1"/>
    <row r="246" s="74" customFormat="1"/>
    <row r="247" s="74" customFormat="1"/>
    <row r="248" s="74" customFormat="1"/>
    <row r="249" s="74" customFormat="1"/>
    <row r="250" s="74" customFormat="1"/>
    <row r="251" s="74" customFormat="1"/>
    <row r="252" s="74" customFormat="1"/>
    <row r="253" s="74" customFormat="1"/>
    <row r="254" s="74" customFormat="1"/>
    <row r="255" s="74" customFormat="1"/>
    <row r="256" s="74" customFormat="1"/>
    <row r="257" s="74" customFormat="1"/>
    <row r="258" s="74" customFormat="1"/>
    <row r="259" s="74" customFormat="1"/>
    <row r="260" s="74" customFormat="1"/>
    <row r="261" s="74" customFormat="1"/>
    <row r="262" s="74" customFormat="1"/>
    <row r="263" s="74" customFormat="1"/>
    <row r="264" s="74" customFormat="1"/>
    <row r="265" s="74" customFormat="1"/>
    <row r="266" s="74" customFormat="1"/>
    <row r="267" s="74" customFormat="1"/>
    <row r="268" s="74" customFormat="1"/>
    <row r="269" s="74" customFormat="1"/>
    <row r="270" s="74" customFormat="1"/>
    <row r="271" s="74" customFormat="1"/>
    <row r="272" s="74" customFormat="1"/>
    <row r="273" s="74" customFormat="1"/>
    <row r="274" s="74" customFormat="1"/>
    <row r="275" s="74" customFormat="1"/>
    <row r="276" s="74" customFormat="1"/>
    <row r="277" s="74" customFormat="1"/>
    <row r="278" s="74" customFormat="1"/>
    <row r="279" s="74" customFormat="1"/>
    <row r="280" s="74" customFormat="1"/>
    <row r="281" s="74" customFormat="1"/>
    <row r="282" s="74" customFormat="1"/>
    <row r="283" s="74" customFormat="1"/>
    <row r="284" s="74" customFormat="1"/>
    <row r="285" s="74" customFormat="1"/>
    <row r="286" s="74" customFormat="1"/>
    <row r="287" s="74" customFormat="1"/>
    <row r="288" s="74" customFormat="1"/>
    <row r="289" s="74" customFormat="1"/>
    <row r="290" s="74" customFormat="1"/>
    <row r="291" s="74" customFormat="1"/>
    <row r="292" s="74" customFormat="1"/>
    <row r="293" s="74" customFormat="1"/>
    <row r="294" s="74" customFormat="1"/>
    <row r="295" s="74" customFormat="1"/>
    <row r="296" s="74" customFormat="1"/>
    <row r="297" s="74" customFormat="1"/>
    <row r="298" s="74" customFormat="1"/>
    <row r="299" s="74" customFormat="1"/>
    <row r="300" s="74" customFormat="1"/>
    <row r="301" s="74" customFormat="1"/>
    <row r="302" s="74" customFormat="1"/>
    <row r="303" s="74" customFormat="1"/>
    <row r="304" s="74" customFormat="1"/>
    <row r="305" s="74" customFormat="1"/>
    <row r="306" s="74" customFormat="1"/>
    <row r="307" s="74" customFormat="1"/>
    <row r="308" s="74" customFormat="1"/>
    <row r="309" s="74" customFormat="1"/>
    <row r="310" s="74" customFormat="1"/>
    <row r="311" s="74" customFormat="1"/>
    <row r="312" s="74" customFormat="1"/>
    <row r="313" s="74" customFormat="1"/>
    <row r="314" s="74" customFormat="1"/>
    <row r="315" s="74" customFormat="1"/>
    <row r="316" s="74" customFormat="1"/>
    <row r="317" s="74" customFormat="1"/>
    <row r="318" s="74" customFormat="1"/>
    <row r="319" s="74" customFormat="1"/>
    <row r="320" s="74" customFormat="1"/>
    <row r="321" s="74" customFormat="1"/>
    <row r="322" s="74" customFormat="1"/>
    <row r="323" s="74" customFormat="1"/>
    <row r="324" s="74" customFormat="1"/>
    <row r="325" s="74" customFormat="1"/>
    <row r="326" s="74" customFormat="1"/>
    <row r="327" s="74" customFormat="1"/>
    <row r="328" s="74" customFormat="1"/>
    <row r="329" s="74" customFormat="1"/>
    <row r="330" s="74" customFormat="1"/>
    <row r="331" s="74" customFormat="1"/>
    <row r="332" s="74" customFormat="1"/>
    <row r="333" s="74" customFormat="1"/>
    <row r="334" s="74" customFormat="1"/>
    <row r="335" s="74" customFormat="1"/>
    <row r="336" s="74" customFormat="1"/>
    <row r="337" s="74" customFormat="1"/>
    <row r="338" s="74" customFormat="1"/>
    <row r="339" s="74" customFormat="1"/>
    <row r="340" s="74" customFormat="1"/>
    <row r="341" s="74" customFormat="1"/>
    <row r="342" s="74" customFormat="1"/>
    <row r="343" s="74" customFormat="1"/>
    <row r="344" s="74" customFormat="1"/>
    <row r="345" s="74" customFormat="1"/>
    <row r="346" s="74" customFormat="1"/>
    <row r="347" s="74" customFormat="1"/>
    <row r="348" s="74" customFormat="1"/>
    <row r="349" s="74" customFormat="1"/>
    <row r="350" s="74" customFormat="1"/>
    <row r="351" s="74" customFormat="1"/>
    <row r="352" s="74" customFormat="1"/>
    <row r="353" s="74" customFormat="1"/>
    <row r="354" s="74" customFormat="1"/>
    <row r="355" s="74" customFormat="1"/>
    <row r="356" s="74" customFormat="1"/>
    <row r="357" s="74" customFormat="1"/>
    <row r="358" s="74" customFormat="1"/>
    <row r="359" s="74" customFormat="1"/>
    <row r="360" s="74" customFormat="1"/>
    <row r="361" s="74" customFormat="1"/>
    <row r="362" s="74" customFormat="1"/>
    <row r="363" s="74" customFormat="1"/>
    <row r="364" s="74" customFormat="1"/>
    <row r="365" s="74" customFormat="1"/>
    <row r="366" s="74" customFormat="1"/>
    <row r="367" s="74" customFormat="1"/>
    <row r="368" s="74" customFormat="1"/>
    <row r="369" s="74" customFormat="1"/>
    <row r="370" s="74" customFormat="1"/>
    <row r="371" s="74" customFormat="1"/>
    <row r="372" s="74" customFormat="1"/>
    <row r="373" s="74" customFormat="1"/>
    <row r="374" s="74" customFormat="1"/>
    <row r="375" s="74" customFormat="1"/>
    <row r="376" s="74" customFormat="1"/>
    <row r="377" s="74" customFormat="1"/>
    <row r="378" s="74" customFormat="1"/>
    <row r="379" s="74" customFormat="1"/>
    <row r="380" s="74" customFormat="1"/>
    <row r="381" s="74" customFormat="1"/>
    <row r="382" s="74" customFormat="1"/>
    <row r="383" s="74" customFormat="1"/>
    <row r="384" s="74" customFormat="1"/>
    <row r="385" s="74" customFormat="1"/>
    <row r="386" s="74" customFormat="1"/>
    <row r="387" s="74" customFormat="1"/>
    <row r="388" s="74" customFormat="1"/>
    <row r="389" s="74" customFormat="1"/>
    <row r="390" s="74" customFormat="1"/>
    <row r="391" s="74" customFormat="1"/>
    <row r="392" s="74" customFormat="1"/>
    <row r="393" s="74" customFormat="1"/>
    <row r="394" s="74" customFormat="1"/>
    <row r="395" s="74" customFormat="1"/>
    <row r="396" s="74" customFormat="1"/>
    <row r="397" s="74" customFormat="1"/>
    <row r="398" s="74" customFormat="1"/>
    <row r="399" s="74" customFormat="1"/>
    <row r="400" s="74" customFormat="1"/>
    <row r="401" spans="2:3" s="74" customFormat="1"/>
    <row r="402" spans="2:3" s="74" customFormat="1"/>
    <row r="403" spans="2:3" s="74" customFormat="1"/>
    <row r="404" spans="2:3" s="74" customFormat="1"/>
    <row r="405" spans="2:3" s="74" customFormat="1"/>
    <row r="406" spans="2:3" s="74" customFormat="1"/>
    <row r="407" spans="2:3" s="74" customFormat="1"/>
    <row r="408" spans="2:3" s="74" customFormat="1"/>
    <row r="409" spans="2:3" s="74" customFormat="1"/>
    <row r="410" spans="2:3" s="74" customFormat="1"/>
    <row r="411" spans="2:3" s="74" customFormat="1"/>
    <row r="412" spans="2:3" s="74" customFormat="1">
      <c r="B412" s="1"/>
      <c r="C412" s="1"/>
    </row>
    <row r="413" spans="2:3" s="74" customFormat="1">
      <c r="B413" s="1"/>
      <c r="C413" s="1"/>
    </row>
  </sheetData>
  <sheetProtection password="D8C9" sheet="1" objects="1" scenarios="1"/>
  <mergeCells count="5">
    <mergeCell ref="E14:F14"/>
    <mergeCell ref="B1:F1"/>
    <mergeCell ref="B2:F2"/>
    <mergeCell ref="E4:F4"/>
    <mergeCell ref="E9:F9"/>
  </mergeCells>
  <conditionalFormatting sqref="B3:F38">
    <cfRule type="expression" dxfId="0" priority="1">
      <formula>#REF!="No"</formula>
    </cfRule>
  </conditionalFormatting>
  <dataValidations count="1">
    <dataValidation type="list" allowBlank="1" showInputMessage="1" showErrorMessage="1" sqref="C23" xr:uid="{00000000-0002-0000-0B00-000000000000}">
      <formula1>"$15000, $16500, $19500,$21450"</formula1>
    </dataValidation>
  </dataValidations>
  <pageMargins left="0.7" right="0.7" top="0.75" bottom="0.75" header="0.3" footer="0.3"/>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B923"/>
  <sheetViews>
    <sheetView zoomScaleNormal="100" zoomScalePageLayoutView="80" workbookViewId="0">
      <selection activeCell="C9" sqref="C9"/>
    </sheetView>
  </sheetViews>
  <sheetFormatPr defaultColWidth="9.6328125" defaultRowHeight="13.2"/>
  <cols>
    <col min="1" max="1" width="7.90625" style="533" customWidth="1"/>
    <col min="2" max="2" width="26.1796875" style="533" customWidth="1"/>
    <col min="3" max="3" width="11.453125" style="534" customWidth="1"/>
    <col min="4" max="4" width="25.453125" style="533" customWidth="1"/>
    <col min="5" max="6" width="12.6328125" style="534" customWidth="1"/>
    <col min="7" max="7" width="13.453125" style="533" customWidth="1"/>
    <col min="8" max="16384" width="9.6328125" style="533"/>
  </cols>
  <sheetData>
    <row r="1" spans="1:28" ht="19.5" customHeight="1">
      <c r="A1" s="1448" t="s">
        <v>558</v>
      </c>
      <c r="B1" s="1448"/>
      <c r="C1" s="1448"/>
      <c r="D1" s="1448"/>
      <c r="E1" s="1448"/>
      <c r="F1" s="1448"/>
      <c r="G1" s="1448"/>
    </row>
    <row r="3" spans="1:28">
      <c r="A3" s="535" t="s">
        <v>559</v>
      </c>
      <c r="B3" s="907">
        <f>Project</f>
        <v>0</v>
      </c>
      <c r="C3" s="612"/>
      <c r="E3" s="908"/>
      <c r="F3" s="533"/>
    </row>
    <row r="4" spans="1:28">
      <c r="A4" s="535" t="s">
        <v>502</v>
      </c>
      <c r="B4" s="535">
        <f>'1)Summary'!H4</f>
        <v>0</v>
      </c>
      <c r="C4" s="612"/>
      <c r="D4" s="611" t="s">
        <v>560</v>
      </c>
      <c r="E4" s="536">
        <f>TotalSqFt</f>
        <v>0</v>
      </c>
      <c r="F4" s="533"/>
    </row>
    <row r="5" spans="1:28">
      <c r="A5" s="535" t="s">
        <v>561</v>
      </c>
      <c r="B5" s="1018"/>
      <c r="C5" s="612" t="s">
        <v>60</v>
      </c>
      <c r="D5" s="1198"/>
      <c r="E5" s="536">
        <f>Units</f>
        <v>0</v>
      </c>
      <c r="F5" s="537"/>
    </row>
    <row r="6" spans="1:28">
      <c r="A6" s="535"/>
      <c r="B6" s="538"/>
      <c r="C6" s="1182"/>
      <c r="E6" s="537"/>
      <c r="F6" s="537"/>
    </row>
    <row r="7" spans="1:28" s="539" customFormat="1" ht="12.75" customHeight="1">
      <c r="C7" s="1183" t="s">
        <v>562</v>
      </c>
      <c r="D7" s="540" t="s">
        <v>804</v>
      </c>
      <c r="E7" s="1191" t="s">
        <v>563</v>
      </c>
      <c r="F7" s="1191" t="s">
        <v>564</v>
      </c>
      <c r="G7" s="1194" t="s">
        <v>565</v>
      </c>
      <c r="H7" s="541"/>
      <c r="I7" s="541"/>
      <c r="J7" s="541"/>
      <c r="K7" s="541"/>
      <c r="L7" s="541"/>
      <c r="M7" s="541"/>
      <c r="N7" s="541"/>
      <c r="O7" s="541"/>
      <c r="P7" s="541"/>
      <c r="Q7" s="541"/>
      <c r="R7" s="541"/>
      <c r="S7" s="541"/>
      <c r="T7" s="541"/>
      <c r="U7" s="541"/>
      <c r="V7" s="541"/>
      <c r="W7" s="541"/>
      <c r="X7" s="541"/>
      <c r="Y7" s="541"/>
      <c r="Z7" s="541"/>
      <c r="AA7" s="541"/>
      <c r="AB7" s="541"/>
    </row>
    <row r="8" spans="1:28" s="539" customFormat="1">
      <c r="B8" s="542" t="s">
        <v>566</v>
      </c>
      <c r="C8" s="1184" t="s">
        <v>567</v>
      </c>
      <c r="D8" s="543" t="s">
        <v>568</v>
      </c>
      <c r="E8" s="1192" t="s">
        <v>569</v>
      </c>
      <c r="F8" s="1192" t="s">
        <v>569</v>
      </c>
      <c r="G8" s="1195" t="s">
        <v>569</v>
      </c>
      <c r="H8" s="544"/>
      <c r="I8" s="541"/>
      <c r="J8" s="541"/>
      <c r="K8" s="541"/>
      <c r="L8" s="541"/>
      <c r="M8" s="541"/>
      <c r="N8" s="541"/>
      <c r="O8" s="541"/>
      <c r="P8" s="541"/>
      <c r="Q8" s="541"/>
      <c r="R8" s="541"/>
      <c r="S8" s="541"/>
      <c r="T8" s="541"/>
      <c r="U8" s="541"/>
      <c r="V8" s="541"/>
      <c r="W8" s="541"/>
      <c r="X8" s="541"/>
      <c r="Y8" s="541"/>
      <c r="Z8" s="541"/>
      <c r="AA8" s="541"/>
      <c r="AB8" s="541"/>
    </row>
    <row r="9" spans="1:28" s="549" customFormat="1">
      <c r="A9" s="545">
        <v>1</v>
      </c>
      <c r="B9" s="546" t="s">
        <v>10</v>
      </c>
      <c r="C9" s="1181"/>
      <c r="D9" s="1189"/>
      <c r="E9" s="1186"/>
      <c r="F9" s="1187"/>
      <c r="G9" s="1196"/>
      <c r="H9" s="547"/>
      <c r="I9" s="548"/>
      <c r="J9" s="548"/>
      <c r="K9" s="548"/>
      <c r="L9" s="548"/>
      <c r="M9" s="548"/>
      <c r="N9" s="548"/>
      <c r="O9" s="548"/>
      <c r="P9" s="548"/>
      <c r="Q9" s="548"/>
      <c r="R9" s="548"/>
      <c r="S9" s="548"/>
      <c r="T9" s="548"/>
      <c r="U9" s="548"/>
      <c r="V9" s="548"/>
      <c r="W9" s="548"/>
      <c r="X9" s="548"/>
      <c r="Y9" s="548"/>
      <c r="Z9" s="548"/>
      <c r="AA9" s="548"/>
      <c r="AB9" s="548"/>
    </row>
    <row r="10" spans="1:28" s="549" customFormat="1">
      <c r="A10" s="545">
        <v>2</v>
      </c>
      <c r="B10" s="546" t="s">
        <v>570</v>
      </c>
      <c r="C10" s="1181"/>
      <c r="D10" s="1189"/>
      <c r="E10" s="1186"/>
      <c r="F10" s="1187"/>
      <c r="G10" s="1196"/>
      <c r="H10" s="547"/>
      <c r="I10" s="548"/>
      <c r="J10" s="548"/>
      <c r="K10" s="548"/>
      <c r="L10" s="548"/>
      <c r="M10" s="548"/>
      <c r="N10" s="548"/>
      <c r="O10" s="548"/>
      <c r="P10" s="548"/>
      <c r="Q10" s="548"/>
      <c r="R10" s="548"/>
      <c r="S10" s="548"/>
      <c r="T10" s="548"/>
      <c r="U10" s="548"/>
      <c r="V10" s="548"/>
      <c r="W10" s="548"/>
      <c r="X10" s="548"/>
      <c r="Y10" s="548"/>
      <c r="Z10" s="548"/>
      <c r="AA10" s="548"/>
      <c r="AB10" s="548"/>
    </row>
    <row r="11" spans="1:28" s="549" customFormat="1">
      <c r="A11" s="545">
        <v>3</v>
      </c>
      <c r="B11" s="546" t="s">
        <v>571</v>
      </c>
      <c r="C11" s="1181"/>
      <c r="D11" s="1189"/>
      <c r="E11" s="1186"/>
      <c r="F11" s="1187"/>
      <c r="G11" s="1196"/>
      <c r="H11" s="547"/>
      <c r="I11" s="548"/>
      <c r="J11" s="548"/>
      <c r="K11" s="548"/>
      <c r="L11" s="548"/>
      <c r="M11" s="548"/>
      <c r="N11" s="548"/>
      <c r="O11" s="548"/>
      <c r="P11" s="548"/>
      <c r="Q11" s="548"/>
      <c r="R11" s="548"/>
      <c r="S11" s="548"/>
      <c r="T11" s="548"/>
      <c r="U11" s="548"/>
      <c r="V11" s="548"/>
      <c r="W11" s="548"/>
      <c r="X11" s="548"/>
      <c r="Y11" s="548"/>
      <c r="Z11" s="548"/>
      <c r="AA11" s="548"/>
      <c r="AB11" s="548"/>
    </row>
    <row r="12" spans="1:28" s="549" customFormat="1">
      <c r="A12" s="545">
        <v>4</v>
      </c>
      <c r="B12" s="546" t="s">
        <v>572</v>
      </c>
      <c r="C12" s="1181"/>
      <c r="D12" s="1189"/>
      <c r="E12" s="1186"/>
      <c r="F12" s="1187"/>
      <c r="G12" s="1196"/>
      <c r="H12" s="547"/>
      <c r="I12" s="548"/>
      <c r="J12" s="548"/>
      <c r="K12" s="548"/>
      <c r="L12" s="548"/>
      <c r="M12" s="548"/>
      <c r="N12" s="548"/>
      <c r="O12" s="548"/>
      <c r="P12" s="548"/>
      <c r="Q12" s="548"/>
      <c r="R12" s="548"/>
      <c r="S12" s="548"/>
      <c r="T12" s="548"/>
      <c r="U12" s="548"/>
      <c r="V12" s="548"/>
      <c r="W12" s="548"/>
      <c r="X12" s="548"/>
      <c r="Y12" s="548"/>
      <c r="Z12" s="548"/>
      <c r="AA12" s="548"/>
      <c r="AB12" s="548"/>
    </row>
    <row r="13" spans="1:28" s="551" customFormat="1">
      <c r="A13" s="545">
        <v>5</v>
      </c>
      <c r="B13" s="546" t="s">
        <v>573</v>
      </c>
      <c r="C13" s="1181"/>
      <c r="D13" s="1190"/>
      <c r="E13" s="1181"/>
      <c r="F13" s="1188"/>
      <c r="G13" s="1181"/>
      <c r="H13" s="547"/>
      <c r="I13" s="550"/>
      <c r="J13" s="550"/>
      <c r="K13" s="550"/>
      <c r="L13" s="550"/>
      <c r="M13" s="550"/>
      <c r="N13" s="550"/>
      <c r="O13" s="550"/>
      <c r="P13" s="550"/>
      <c r="Q13" s="550"/>
      <c r="R13" s="550"/>
      <c r="S13" s="550"/>
      <c r="T13" s="550"/>
      <c r="U13" s="550"/>
      <c r="V13" s="550"/>
      <c r="W13" s="550"/>
      <c r="X13" s="550"/>
      <c r="Y13" s="550"/>
      <c r="Z13" s="550"/>
      <c r="AA13" s="550"/>
      <c r="AB13" s="550"/>
    </row>
    <row r="14" spans="1:28" s="549" customFormat="1">
      <c r="A14" s="545">
        <v>6</v>
      </c>
      <c r="B14" s="546" t="s">
        <v>574</v>
      </c>
      <c r="C14" s="1181"/>
      <c r="D14" s="1189"/>
      <c r="E14" s="1186"/>
      <c r="F14" s="1187"/>
      <c r="G14" s="1196"/>
      <c r="H14" s="547"/>
      <c r="I14" s="548"/>
      <c r="J14" s="548"/>
      <c r="K14" s="548"/>
      <c r="L14" s="548"/>
      <c r="M14" s="548"/>
      <c r="N14" s="548"/>
      <c r="O14" s="548"/>
      <c r="P14" s="548"/>
      <c r="Q14" s="548"/>
      <c r="R14" s="548"/>
      <c r="S14" s="548"/>
      <c r="T14" s="548"/>
      <c r="U14" s="548"/>
      <c r="V14" s="548"/>
      <c r="W14" s="548"/>
      <c r="X14" s="548"/>
      <c r="Y14" s="548"/>
      <c r="Z14" s="548"/>
      <c r="AA14" s="548"/>
      <c r="AB14" s="548"/>
    </row>
    <row r="15" spans="1:28" s="549" customFormat="1">
      <c r="A15" s="545">
        <v>7</v>
      </c>
      <c r="B15" s="546" t="s">
        <v>575</v>
      </c>
      <c r="C15" s="1181"/>
      <c r="D15" s="1189"/>
      <c r="E15" s="1186"/>
      <c r="F15" s="1187"/>
      <c r="G15" s="1196"/>
      <c r="H15" s="547"/>
      <c r="I15" s="548"/>
      <c r="J15" s="548"/>
      <c r="K15" s="548"/>
      <c r="L15" s="548"/>
      <c r="M15" s="548"/>
      <c r="N15" s="548"/>
      <c r="O15" s="548"/>
      <c r="P15" s="548"/>
      <c r="Q15" s="548"/>
      <c r="R15" s="548"/>
      <c r="S15" s="548"/>
      <c r="T15" s="548"/>
      <c r="U15" s="548"/>
      <c r="V15" s="548"/>
      <c r="W15" s="548"/>
      <c r="X15" s="548"/>
      <c r="Y15" s="548"/>
      <c r="Z15" s="548"/>
      <c r="AA15" s="548"/>
      <c r="AB15" s="548"/>
    </row>
    <row r="16" spans="1:28" s="549" customFormat="1">
      <c r="A16" s="545">
        <v>8</v>
      </c>
      <c r="B16" s="546" t="s">
        <v>576</v>
      </c>
      <c r="C16" s="1181"/>
      <c r="D16" s="1189"/>
      <c r="E16" s="1186"/>
      <c r="F16" s="1187"/>
      <c r="G16" s="1196"/>
      <c r="H16" s="547"/>
      <c r="I16" s="548"/>
      <c r="J16" s="548"/>
      <c r="K16" s="548"/>
      <c r="L16" s="548"/>
      <c r="M16" s="548"/>
      <c r="N16" s="548"/>
      <c r="O16" s="548"/>
      <c r="P16" s="548"/>
      <c r="Q16" s="548"/>
      <c r="R16" s="548"/>
      <c r="S16" s="548"/>
      <c r="T16" s="548"/>
      <c r="U16" s="548"/>
      <c r="V16" s="548"/>
      <c r="W16" s="548"/>
      <c r="X16" s="548"/>
      <c r="Y16" s="548"/>
      <c r="Z16" s="548"/>
      <c r="AA16" s="548"/>
      <c r="AB16" s="548"/>
    </row>
    <row r="17" spans="1:28" s="549" customFormat="1">
      <c r="A17" s="545">
        <v>9</v>
      </c>
      <c r="B17" s="546" t="s">
        <v>577</v>
      </c>
      <c r="C17" s="1181"/>
      <c r="D17" s="1189"/>
      <c r="E17" s="1186"/>
      <c r="F17" s="1187"/>
      <c r="G17" s="1196"/>
      <c r="H17" s="547"/>
      <c r="I17" s="548"/>
      <c r="J17" s="548"/>
      <c r="K17" s="548"/>
      <c r="L17" s="548"/>
      <c r="M17" s="548"/>
      <c r="N17" s="548"/>
      <c r="O17" s="548"/>
      <c r="P17" s="548"/>
      <c r="Q17" s="548"/>
      <c r="R17" s="548"/>
      <c r="S17" s="548"/>
      <c r="T17" s="548"/>
      <c r="U17" s="548"/>
      <c r="V17" s="548"/>
      <c r="W17" s="548"/>
      <c r="X17" s="548"/>
      <c r="Y17" s="548"/>
      <c r="Z17" s="548"/>
      <c r="AA17" s="548"/>
      <c r="AB17" s="548"/>
    </row>
    <row r="18" spans="1:28" s="549" customFormat="1">
      <c r="A18" s="545">
        <v>10</v>
      </c>
      <c r="B18" s="546" t="s">
        <v>578</v>
      </c>
      <c r="C18" s="1181"/>
      <c r="D18" s="1189"/>
      <c r="E18" s="1186"/>
      <c r="F18" s="1187"/>
      <c r="G18" s="1196"/>
      <c r="H18" s="547"/>
      <c r="I18" s="548"/>
      <c r="J18" s="548"/>
      <c r="K18" s="548"/>
      <c r="L18" s="548"/>
      <c r="M18" s="548"/>
      <c r="N18" s="548"/>
      <c r="O18" s="548"/>
      <c r="P18" s="548"/>
      <c r="Q18" s="548"/>
      <c r="R18" s="548"/>
      <c r="S18" s="548"/>
      <c r="T18" s="548"/>
      <c r="U18" s="548"/>
      <c r="V18" s="548"/>
      <c r="W18" s="548"/>
      <c r="X18" s="548"/>
      <c r="Y18" s="548"/>
      <c r="Z18" s="548"/>
      <c r="AA18" s="548"/>
      <c r="AB18" s="548"/>
    </row>
    <row r="19" spans="1:28" s="549" customFormat="1">
      <c r="A19" s="545">
        <v>11</v>
      </c>
      <c r="B19" s="546" t="s">
        <v>579</v>
      </c>
      <c r="C19" s="1181"/>
      <c r="D19" s="1189"/>
      <c r="E19" s="1186"/>
      <c r="F19" s="1187"/>
      <c r="G19" s="1196"/>
      <c r="H19" s="547"/>
      <c r="I19" s="548"/>
      <c r="J19" s="548"/>
      <c r="K19" s="548"/>
      <c r="L19" s="548"/>
      <c r="M19" s="548"/>
      <c r="N19" s="548"/>
      <c r="O19" s="548"/>
      <c r="P19" s="548"/>
      <c r="Q19" s="548"/>
      <c r="R19" s="548"/>
      <c r="S19" s="548"/>
      <c r="T19" s="548"/>
      <c r="U19" s="548"/>
      <c r="V19" s="548"/>
      <c r="W19" s="548"/>
      <c r="X19" s="548"/>
      <c r="Y19" s="548"/>
      <c r="Z19" s="548"/>
      <c r="AA19" s="548"/>
      <c r="AB19" s="548"/>
    </row>
    <row r="20" spans="1:28" s="549" customFormat="1">
      <c r="A20" s="545">
        <v>12</v>
      </c>
      <c r="B20" s="546" t="s">
        <v>580</v>
      </c>
      <c r="C20" s="1181"/>
      <c r="D20" s="1189"/>
      <c r="E20" s="1186"/>
      <c r="F20" s="1187"/>
      <c r="G20" s="1196"/>
      <c r="H20" s="547"/>
      <c r="I20" s="548"/>
      <c r="J20" s="548"/>
      <c r="K20" s="548"/>
      <c r="L20" s="548"/>
      <c r="M20" s="548"/>
      <c r="N20" s="548"/>
      <c r="O20" s="548"/>
      <c r="P20" s="548"/>
      <c r="Q20" s="548"/>
      <c r="R20" s="548"/>
      <c r="S20" s="548"/>
      <c r="T20" s="548"/>
      <c r="U20" s="548"/>
      <c r="V20" s="548"/>
      <c r="W20" s="548"/>
      <c r="X20" s="548"/>
      <c r="Y20" s="548"/>
      <c r="Z20" s="548"/>
      <c r="AA20" s="548"/>
      <c r="AB20" s="548"/>
    </row>
    <row r="21" spans="1:28" s="549" customFormat="1">
      <c r="A21" s="545">
        <v>13</v>
      </c>
      <c r="B21" s="546" t="s">
        <v>581</v>
      </c>
      <c r="C21" s="1181"/>
      <c r="D21" s="1189"/>
      <c r="E21" s="1186"/>
      <c r="F21" s="1187"/>
      <c r="G21" s="1196"/>
      <c r="H21" s="547"/>
      <c r="I21" s="548"/>
      <c r="J21" s="548"/>
      <c r="K21" s="548"/>
      <c r="L21" s="548"/>
      <c r="M21" s="548"/>
      <c r="N21" s="548"/>
      <c r="O21" s="548"/>
      <c r="P21" s="548"/>
      <c r="Q21" s="548"/>
      <c r="R21" s="548"/>
      <c r="S21" s="548"/>
      <c r="T21" s="548"/>
      <c r="U21" s="548"/>
      <c r="V21" s="548"/>
      <c r="W21" s="548"/>
      <c r="X21" s="548"/>
      <c r="Y21" s="548"/>
      <c r="Z21" s="548"/>
      <c r="AA21" s="548"/>
      <c r="AB21" s="548"/>
    </row>
    <row r="22" spans="1:28" s="549" customFormat="1">
      <c r="A22" s="545">
        <v>14</v>
      </c>
      <c r="B22" s="546" t="s">
        <v>582</v>
      </c>
      <c r="C22" s="1181"/>
      <c r="D22" s="1189"/>
      <c r="E22" s="1186"/>
      <c r="F22" s="1187"/>
      <c r="G22" s="1196"/>
      <c r="H22" s="547"/>
      <c r="I22" s="548"/>
      <c r="J22" s="548"/>
      <c r="K22" s="548"/>
      <c r="L22" s="548"/>
      <c r="M22" s="548"/>
      <c r="N22" s="548"/>
      <c r="O22" s="548"/>
      <c r="P22" s="548"/>
      <c r="Q22" s="548"/>
      <c r="R22" s="548"/>
      <c r="S22" s="548"/>
      <c r="T22" s="548"/>
      <c r="U22" s="548"/>
      <c r="V22" s="548"/>
      <c r="W22" s="548"/>
      <c r="X22" s="548"/>
      <c r="Y22" s="548"/>
      <c r="Z22" s="548"/>
      <c r="AA22" s="548"/>
      <c r="AB22" s="548"/>
    </row>
    <row r="23" spans="1:28" s="549" customFormat="1">
      <c r="A23" s="545">
        <v>15</v>
      </c>
      <c r="B23" s="546" t="s">
        <v>583</v>
      </c>
      <c r="C23" s="1181"/>
      <c r="D23" s="1189"/>
      <c r="E23" s="1186"/>
      <c r="F23" s="1187"/>
      <c r="G23" s="1196"/>
      <c r="H23" s="547"/>
      <c r="I23" s="548"/>
      <c r="J23" s="548"/>
      <c r="K23" s="548"/>
      <c r="L23" s="548"/>
      <c r="M23" s="548"/>
      <c r="N23" s="548"/>
      <c r="O23" s="548"/>
      <c r="P23" s="548"/>
      <c r="Q23" s="548"/>
      <c r="R23" s="548"/>
      <c r="S23" s="548"/>
      <c r="T23" s="548"/>
      <c r="U23" s="548"/>
      <c r="V23" s="548"/>
      <c r="W23" s="548"/>
      <c r="X23" s="548"/>
      <c r="Y23" s="548"/>
      <c r="Z23" s="548"/>
      <c r="AA23" s="548"/>
      <c r="AB23" s="548"/>
    </row>
    <row r="24" spans="1:28" s="549" customFormat="1">
      <c r="A24" s="545">
        <v>16</v>
      </c>
      <c r="B24" s="546" t="s">
        <v>584</v>
      </c>
      <c r="C24" s="1181"/>
      <c r="D24" s="1189"/>
      <c r="E24" s="1186"/>
      <c r="F24" s="1187"/>
      <c r="G24" s="1196"/>
      <c r="H24" s="547"/>
      <c r="I24" s="548"/>
      <c r="J24" s="548"/>
      <c r="K24" s="548"/>
      <c r="L24" s="548"/>
      <c r="M24" s="548"/>
      <c r="N24" s="548"/>
      <c r="O24" s="548"/>
      <c r="P24" s="548"/>
      <c r="Q24" s="548"/>
      <c r="R24" s="548"/>
      <c r="S24" s="548"/>
      <c r="T24" s="548"/>
      <c r="U24" s="548"/>
      <c r="V24" s="548"/>
      <c r="W24" s="548"/>
      <c r="X24" s="548"/>
      <c r="Y24" s="548"/>
      <c r="Z24" s="548"/>
      <c r="AA24" s="548"/>
      <c r="AB24" s="548"/>
    </row>
    <row r="25" spans="1:28" s="549" customFormat="1">
      <c r="A25" s="545">
        <v>17</v>
      </c>
      <c r="B25" s="546" t="s">
        <v>585</v>
      </c>
      <c r="C25" s="1181"/>
      <c r="D25" s="1189"/>
      <c r="E25" s="1186"/>
      <c r="F25" s="1187"/>
      <c r="G25" s="1196"/>
      <c r="H25" s="547"/>
      <c r="I25" s="548"/>
      <c r="J25" s="548"/>
      <c r="K25" s="548"/>
      <c r="L25" s="548"/>
      <c r="M25" s="548"/>
      <c r="N25" s="548"/>
      <c r="O25" s="548"/>
      <c r="P25" s="548"/>
      <c r="Q25" s="548"/>
      <c r="R25" s="548"/>
      <c r="S25" s="548"/>
      <c r="T25" s="548"/>
      <c r="U25" s="548"/>
      <c r="V25" s="548"/>
      <c r="W25" s="548"/>
      <c r="X25" s="548"/>
      <c r="Y25" s="548"/>
      <c r="Z25" s="548"/>
      <c r="AA25" s="548"/>
      <c r="AB25" s="548"/>
    </row>
    <row r="26" spans="1:28" s="549" customFormat="1">
      <c r="A26" s="545">
        <v>18</v>
      </c>
      <c r="B26" s="546" t="s">
        <v>586</v>
      </c>
      <c r="C26" s="1181"/>
      <c r="D26" s="1189"/>
      <c r="E26" s="1186"/>
      <c r="F26" s="1187"/>
      <c r="G26" s="1196"/>
      <c r="H26" s="547"/>
      <c r="I26" s="548"/>
      <c r="J26" s="548"/>
      <c r="K26" s="548"/>
      <c r="L26" s="548"/>
      <c r="M26" s="548"/>
      <c r="N26" s="548"/>
      <c r="O26" s="548"/>
      <c r="P26" s="548"/>
      <c r="Q26" s="548"/>
      <c r="R26" s="548"/>
      <c r="S26" s="548"/>
      <c r="T26" s="548"/>
      <c r="U26" s="548"/>
      <c r="V26" s="548"/>
      <c r="W26" s="548"/>
      <c r="X26" s="548"/>
      <c r="Y26" s="548"/>
      <c r="Z26" s="548"/>
      <c r="AA26" s="548"/>
      <c r="AB26" s="548"/>
    </row>
    <row r="27" spans="1:28" s="549" customFormat="1">
      <c r="A27" s="545">
        <v>19</v>
      </c>
      <c r="B27" s="546" t="s">
        <v>587</v>
      </c>
      <c r="C27" s="1181"/>
      <c r="D27" s="1189"/>
      <c r="E27" s="1186"/>
      <c r="F27" s="1187"/>
      <c r="G27" s="1196"/>
      <c r="H27" s="547"/>
      <c r="I27" s="548"/>
      <c r="J27" s="548"/>
      <c r="K27" s="548"/>
      <c r="L27" s="548"/>
      <c r="M27" s="548"/>
      <c r="N27" s="548"/>
      <c r="O27" s="548"/>
      <c r="P27" s="548"/>
      <c r="Q27" s="548"/>
      <c r="R27" s="548"/>
      <c r="S27" s="548"/>
      <c r="T27" s="548"/>
      <c r="U27" s="548"/>
      <c r="V27" s="548"/>
      <c r="W27" s="548"/>
      <c r="X27" s="548"/>
      <c r="Y27" s="548"/>
      <c r="Z27" s="548"/>
      <c r="AA27" s="548"/>
      <c r="AB27" s="548"/>
    </row>
    <row r="28" spans="1:28" s="549" customFormat="1">
      <c r="A28" s="545">
        <v>20</v>
      </c>
      <c r="B28" s="546" t="s">
        <v>588</v>
      </c>
      <c r="C28" s="1181"/>
      <c r="D28" s="1189"/>
      <c r="E28" s="1186"/>
      <c r="F28" s="1187"/>
      <c r="G28" s="1196"/>
      <c r="H28" s="547"/>
      <c r="I28" s="548"/>
      <c r="J28" s="548"/>
      <c r="K28" s="548"/>
      <c r="L28" s="548"/>
      <c r="M28" s="548"/>
      <c r="N28" s="548"/>
      <c r="O28" s="548"/>
      <c r="P28" s="548"/>
      <c r="Q28" s="548"/>
      <c r="R28" s="548"/>
      <c r="S28" s="548"/>
      <c r="T28" s="548"/>
      <c r="U28" s="548"/>
      <c r="V28" s="548"/>
      <c r="W28" s="548"/>
      <c r="X28" s="548"/>
      <c r="Y28" s="548"/>
      <c r="Z28" s="548"/>
      <c r="AA28" s="548"/>
      <c r="AB28" s="548"/>
    </row>
    <row r="29" spans="1:28" s="549" customFormat="1">
      <c r="A29" s="545">
        <v>21</v>
      </c>
      <c r="B29" s="552" t="s">
        <v>46</v>
      </c>
      <c r="C29" s="1181"/>
      <c r="D29" s="1189"/>
      <c r="E29" s="1186"/>
      <c r="F29" s="1187"/>
      <c r="G29" s="1196"/>
      <c r="H29" s="547"/>
      <c r="I29" s="548"/>
      <c r="J29" s="548"/>
      <c r="K29" s="548"/>
      <c r="L29" s="548"/>
      <c r="M29" s="548"/>
      <c r="N29" s="548"/>
      <c r="O29" s="548"/>
      <c r="P29" s="548"/>
      <c r="Q29" s="548"/>
      <c r="R29" s="548"/>
      <c r="S29" s="548"/>
      <c r="T29" s="548"/>
      <c r="U29" s="548"/>
      <c r="V29" s="548"/>
      <c r="W29" s="548"/>
      <c r="X29" s="548"/>
      <c r="Y29" s="548"/>
      <c r="Z29" s="548"/>
      <c r="AA29" s="548"/>
      <c r="AB29" s="548"/>
    </row>
    <row r="30" spans="1:28" s="559" customFormat="1">
      <c r="A30" s="553"/>
      <c r="B30" s="554" t="s">
        <v>259</v>
      </c>
      <c r="C30" s="1185">
        <f>SUM(C9:C29)</f>
        <v>0</v>
      </c>
      <c r="D30" s="555"/>
      <c r="E30" s="1193">
        <f>SUM(E9:E29)</f>
        <v>0</v>
      </c>
      <c r="F30" s="1193">
        <f>SUM(F9:F29)</f>
        <v>0</v>
      </c>
      <c r="G30" s="1197">
        <f>SUM(G9:G29)</f>
        <v>0</v>
      </c>
      <c r="H30" s="556"/>
      <c r="I30" s="557"/>
      <c r="J30" s="558"/>
      <c r="K30" s="558"/>
      <c r="L30" s="558"/>
      <c r="M30" s="558"/>
      <c r="N30" s="558"/>
      <c r="O30" s="558"/>
      <c r="P30" s="558"/>
      <c r="Q30" s="558"/>
      <c r="R30" s="558"/>
      <c r="S30" s="558"/>
      <c r="T30" s="558"/>
      <c r="U30" s="558"/>
      <c r="V30" s="558"/>
      <c r="W30" s="558"/>
      <c r="X30" s="558"/>
      <c r="Y30" s="558"/>
      <c r="Z30" s="558"/>
      <c r="AA30" s="558"/>
      <c r="AB30" s="558"/>
    </row>
    <row r="31" spans="1:28" s="559" customFormat="1">
      <c r="A31" s="553"/>
      <c r="B31" s="554"/>
      <c r="C31" s="555"/>
      <c r="D31" s="555"/>
      <c r="E31" s="560" t="e">
        <f>E30/$C$30</f>
        <v>#DIV/0!</v>
      </c>
      <c r="F31" s="560" t="e">
        <f>F30/$C$30</f>
        <v>#DIV/0!</v>
      </c>
      <c r="G31" s="560" t="e">
        <f>G30/$C$30</f>
        <v>#DIV/0!</v>
      </c>
      <c r="H31" s="556"/>
      <c r="I31" s="557"/>
      <c r="J31" s="558"/>
      <c r="K31" s="558"/>
      <c r="L31" s="558"/>
      <c r="M31" s="558"/>
      <c r="N31" s="558"/>
      <c r="O31" s="558"/>
      <c r="P31" s="558"/>
      <c r="Q31" s="558"/>
      <c r="R31" s="558"/>
      <c r="S31" s="558"/>
      <c r="T31" s="558"/>
      <c r="U31" s="558"/>
      <c r="V31" s="558"/>
      <c r="W31" s="558"/>
      <c r="X31" s="558"/>
      <c r="Y31" s="558"/>
      <c r="Z31" s="558"/>
      <c r="AA31" s="558"/>
      <c r="AB31" s="558"/>
    </row>
    <row r="32" spans="1:28" ht="6" customHeight="1">
      <c r="C32" s="561"/>
      <c r="E32" s="533"/>
      <c r="F32" s="533"/>
    </row>
    <row r="33" spans="1:9">
      <c r="A33" s="562"/>
      <c r="B33" s="563" t="s">
        <v>589</v>
      </c>
      <c r="C33" s="564"/>
      <c r="D33" s="1019"/>
      <c r="E33" s="1020"/>
      <c r="F33" s="1021"/>
      <c r="G33" s="1020"/>
      <c r="H33" s="565"/>
      <c r="I33" s="565"/>
    </row>
    <row r="34" spans="1:9">
      <c r="A34" s="562"/>
      <c r="B34" s="562"/>
      <c r="C34" s="564"/>
      <c r="D34" s="562"/>
      <c r="E34" s="560" t="e">
        <f>E33/(E33+C30)</f>
        <v>#DIV/0!</v>
      </c>
      <c r="F34" s="560" t="e">
        <f>F33/(F33+C30)</f>
        <v>#DIV/0!</v>
      </c>
      <c r="G34" s="560" t="e">
        <f>G33/(G33+D30)</f>
        <v>#DIV/0!</v>
      </c>
      <c r="H34" s="565"/>
      <c r="I34" s="565"/>
    </row>
    <row r="35" spans="1:9" ht="7.5" customHeight="1">
      <c r="A35" s="562"/>
      <c r="B35" s="562"/>
      <c r="C35" s="564"/>
      <c r="D35" s="562"/>
      <c r="E35" s="560"/>
      <c r="F35" s="560"/>
      <c r="G35" s="560"/>
      <c r="H35" s="565"/>
      <c r="I35" s="565"/>
    </row>
    <row r="36" spans="1:9" ht="13.8">
      <c r="A36" s="562"/>
      <c r="B36" s="566" t="s">
        <v>590</v>
      </c>
      <c r="C36" s="567">
        <f>SUM(C33:C34)</f>
        <v>0</v>
      </c>
      <c r="D36" s="568"/>
      <c r="E36" s="569">
        <f>E30+E33</f>
        <v>0</v>
      </c>
      <c r="F36" s="569">
        <f>F30+F33</f>
        <v>0</v>
      </c>
      <c r="G36" s="569">
        <f>G30+G33</f>
        <v>0</v>
      </c>
      <c r="H36" s="565"/>
      <c r="I36" s="565"/>
    </row>
    <row r="37" spans="1:9" ht="13.8">
      <c r="A37" s="562"/>
      <c r="B37" s="570" t="s">
        <v>591</v>
      </c>
      <c r="C37" s="567"/>
      <c r="D37" s="568"/>
      <c r="E37" s="571" t="e">
        <f>E36/($C$30+E33)</f>
        <v>#DIV/0!</v>
      </c>
      <c r="F37" s="571" t="e">
        <f>F36/($C$30+F33)</f>
        <v>#DIV/0!</v>
      </c>
      <c r="G37" s="571" t="e">
        <f>G36/($C$30+G33)</f>
        <v>#DIV/0!</v>
      </c>
      <c r="H37" s="565"/>
      <c r="I37" s="565"/>
    </row>
    <row r="38" spans="1:9">
      <c r="C38" s="564"/>
      <c r="D38" s="562"/>
      <c r="E38" s="564"/>
      <c r="F38" s="564"/>
      <c r="G38" s="572"/>
      <c r="H38" s="565"/>
      <c r="I38" s="565"/>
    </row>
    <row r="39" spans="1:9">
      <c r="C39" s="573"/>
      <c r="D39" s="565"/>
      <c r="E39" s="573"/>
      <c r="F39" s="573"/>
      <c r="G39" s="613"/>
      <c r="H39" s="565"/>
      <c r="I39" s="565"/>
    </row>
    <row r="40" spans="1:9">
      <c r="C40" s="573"/>
      <c r="D40" s="565"/>
      <c r="E40" s="573"/>
      <c r="F40" s="573"/>
      <c r="G40" s="613"/>
      <c r="H40" s="565"/>
      <c r="I40" s="565"/>
    </row>
    <row r="41" spans="1:9">
      <c r="C41" s="573"/>
      <c r="D41" s="565"/>
      <c r="E41" s="573"/>
      <c r="F41" s="573"/>
      <c r="G41" s="613"/>
      <c r="H41" s="565"/>
      <c r="I41" s="565"/>
    </row>
    <row r="42" spans="1:9">
      <c r="C42" s="573"/>
      <c r="D42" s="565"/>
      <c r="E42" s="573"/>
      <c r="F42" s="573"/>
      <c r="G42" s="613"/>
      <c r="H42" s="565"/>
      <c r="I42" s="565"/>
    </row>
    <row r="43" spans="1:9">
      <c r="C43" s="573"/>
      <c r="D43" s="565"/>
      <c r="E43" s="573"/>
      <c r="F43" s="573"/>
      <c r="G43" s="613"/>
      <c r="H43" s="565"/>
      <c r="I43" s="565"/>
    </row>
    <row r="44" spans="1:9">
      <c r="C44" s="573"/>
      <c r="D44" s="565"/>
      <c r="E44" s="573"/>
      <c r="F44" s="573"/>
      <c r="G44" s="613"/>
      <c r="H44" s="565"/>
      <c r="I44" s="565"/>
    </row>
    <row r="45" spans="1:9">
      <c r="C45" s="573"/>
      <c r="D45" s="565"/>
      <c r="E45" s="573"/>
      <c r="F45" s="573"/>
      <c r="G45" s="613"/>
      <c r="H45" s="565"/>
      <c r="I45" s="565"/>
    </row>
    <row r="46" spans="1:9">
      <c r="C46" s="573"/>
      <c r="D46" s="565"/>
      <c r="E46" s="573"/>
      <c r="F46" s="573"/>
      <c r="G46" s="613"/>
      <c r="H46" s="565"/>
      <c r="I46" s="565"/>
    </row>
    <row r="47" spans="1:9">
      <c r="C47" s="573"/>
      <c r="D47" s="565"/>
      <c r="E47" s="573"/>
      <c r="F47" s="573"/>
      <c r="G47" s="613"/>
      <c r="H47" s="565"/>
      <c r="I47" s="565"/>
    </row>
    <row r="48" spans="1:9">
      <c r="C48" s="573"/>
      <c r="D48" s="565"/>
      <c r="E48" s="573"/>
      <c r="F48" s="573"/>
      <c r="G48" s="565"/>
      <c r="H48" s="565"/>
      <c r="I48" s="565"/>
    </row>
    <row r="49" spans="3:9">
      <c r="C49" s="573"/>
      <c r="D49" s="565"/>
      <c r="E49" s="573"/>
      <c r="F49" s="573"/>
      <c r="G49" s="565"/>
      <c r="H49" s="565"/>
      <c r="I49" s="565"/>
    </row>
    <row r="50" spans="3:9">
      <c r="C50" s="573"/>
      <c r="D50" s="565"/>
      <c r="E50" s="573"/>
      <c r="F50" s="573"/>
      <c r="G50" s="565"/>
      <c r="H50" s="565"/>
      <c r="I50" s="565"/>
    </row>
    <row r="51" spans="3:9">
      <c r="C51" s="573"/>
      <c r="D51" s="565"/>
      <c r="E51" s="573"/>
      <c r="F51" s="573"/>
      <c r="G51" s="565"/>
      <c r="H51" s="565"/>
      <c r="I51" s="565"/>
    </row>
    <row r="52" spans="3:9">
      <c r="C52" s="573"/>
      <c r="D52" s="565"/>
      <c r="E52" s="573"/>
      <c r="F52" s="573"/>
      <c r="G52" s="565"/>
      <c r="H52" s="565"/>
      <c r="I52" s="565"/>
    </row>
    <row r="53" spans="3:9">
      <c r="C53" s="573"/>
      <c r="D53" s="565"/>
      <c r="E53" s="573"/>
      <c r="F53" s="573"/>
      <c r="G53" s="565"/>
      <c r="H53" s="565"/>
      <c r="I53" s="565"/>
    </row>
    <row r="54" spans="3:9">
      <c r="C54" s="573"/>
      <c r="D54" s="565"/>
      <c r="E54" s="573"/>
      <c r="F54" s="573"/>
      <c r="G54" s="565"/>
      <c r="H54" s="565"/>
      <c r="I54" s="565"/>
    </row>
    <row r="55" spans="3:9">
      <c r="C55" s="573"/>
      <c r="D55" s="565"/>
      <c r="E55" s="573"/>
      <c r="F55" s="573"/>
      <c r="G55" s="565"/>
      <c r="H55" s="565"/>
      <c r="I55" s="565"/>
    </row>
    <row r="56" spans="3:9">
      <c r="C56" s="573"/>
      <c r="D56" s="565"/>
      <c r="E56" s="573"/>
      <c r="F56" s="573"/>
      <c r="G56" s="565"/>
      <c r="H56" s="565"/>
      <c r="I56" s="565"/>
    </row>
    <row r="57" spans="3:9">
      <c r="C57" s="573"/>
      <c r="D57" s="565"/>
      <c r="E57" s="573"/>
      <c r="F57" s="573"/>
      <c r="G57" s="565"/>
      <c r="H57" s="565"/>
      <c r="I57" s="565"/>
    </row>
    <row r="58" spans="3:9">
      <c r="C58" s="573"/>
      <c r="D58" s="565"/>
      <c r="E58" s="573"/>
      <c r="F58" s="573"/>
      <c r="G58" s="565"/>
      <c r="H58" s="565"/>
      <c r="I58" s="565"/>
    </row>
    <row r="59" spans="3:9">
      <c r="C59" s="573"/>
      <c r="D59" s="565"/>
      <c r="E59" s="573"/>
      <c r="F59" s="573"/>
      <c r="G59" s="565"/>
      <c r="H59" s="565"/>
      <c r="I59" s="565"/>
    </row>
    <row r="60" spans="3:9">
      <c r="C60" s="573"/>
      <c r="D60" s="565"/>
      <c r="E60" s="573"/>
      <c r="F60" s="573"/>
      <c r="G60" s="565"/>
      <c r="H60" s="565"/>
      <c r="I60" s="565"/>
    </row>
    <row r="61" spans="3:9">
      <c r="C61" s="573"/>
      <c r="D61" s="565"/>
      <c r="E61" s="573"/>
      <c r="F61" s="573"/>
      <c r="G61" s="565"/>
      <c r="H61" s="565"/>
      <c r="I61" s="565"/>
    </row>
    <row r="62" spans="3:9">
      <c r="C62" s="573"/>
      <c r="D62" s="565"/>
      <c r="E62" s="573"/>
      <c r="F62" s="573"/>
      <c r="G62" s="565"/>
      <c r="H62" s="565"/>
      <c r="I62" s="565"/>
    </row>
    <row r="63" spans="3:9">
      <c r="C63" s="573"/>
      <c r="D63" s="565"/>
      <c r="E63" s="573"/>
      <c r="F63" s="573"/>
      <c r="G63" s="565"/>
      <c r="H63" s="565"/>
      <c r="I63" s="565"/>
    </row>
    <row r="64" spans="3:9">
      <c r="C64" s="573"/>
      <c r="D64" s="565"/>
      <c r="E64" s="573"/>
      <c r="F64" s="573"/>
      <c r="G64" s="565"/>
      <c r="H64" s="565"/>
      <c r="I64" s="565"/>
    </row>
    <row r="65" spans="3:9">
      <c r="C65" s="573"/>
      <c r="D65" s="565"/>
      <c r="E65" s="573"/>
      <c r="F65" s="573"/>
      <c r="G65" s="565"/>
      <c r="H65" s="565"/>
      <c r="I65" s="565"/>
    </row>
    <row r="66" spans="3:9">
      <c r="C66" s="573"/>
      <c r="D66" s="565"/>
      <c r="E66" s="573"/>
      <c r="F66" s="573"/>
      <c r="G66" s="565"/>
      <c r="H66" s="565"/>
      <c r="I66" s="565"/>
    </row>
    <row r="67" spans="3:9">
      <c r="C67" s="573"/>
      <c r="D67" s="565"/>
      <c r="E67" s="573"/>
      <c r="F67" s="573"/>
      <c r="G67" s="565"/>
      <c r="H67" s="565"/>
      <c r="I67" s="565"/>
    </row>
    <row r="68" spans="3:9">
      <c r="C68" s="573"/>
      <c r="D68" s="565"/>
      <c r="E68" s="573"/>
      <c r="F68" s="573"/>
      <c r="G68" s="565"/>
      <c r="H68" s="565"/>
      <c r="I68" s="565"/>
    </row>
    <row r="69" spans="3:9">
      <c r="C69" s="573"/>
      <c r="D69" s="565"/>
      <c r="E69" s="573"/>
      <c r="F69" s="573"/>
      <c r="G69" s="565"/>
      <c r="H69" s="565"/>
      <c r="I69" s="565"/>
    </row>
    <row r="70" spans="3:9">
      <c r="C70" s="573"/>
      <c r="D70" s="565"/>
      <c r="E70" s="573"/>
      <c r="F70" s="573"/>
      <c r="G70" s="565"/>
      <c r="H70" s="565"/>
      <c r="I70" s="565"/>
    </row>
    <row r="71" spans="3:9">
      <c r="C71" s="573"/>
      <c r="D71" s="565"/>
      <c r="E71" s="573"/>
      <c r="F71" s="573"/>
      <c r="G71" s="565"/>
      <c r="H71" s="565"/>
      <c r="I71" s="565"/>
    </row>
    <row r="72" spans="3:9">
      <c r="C72" s="573"/>
      <c r="D72" s="565"/>
      <c r="E72" s="573"/>
      <c r="F72" s="573"/>
      <c r="G72" s="565"/>
      <c r="H72" s="565"/>
      <c r="I72" s="565"/>
    </row>
    <row r="73" spans="3:9">
      <c r="C73" s="573"/>
      <c r="D73" s="565"/>
      <c r="E73" s="573"/>
      <c r="F73" s="573"/>
      <c r="G73" s="565"/>
      <c r="H73" s="565"/>
      <c r="I73" s="565"/>
    </row>
    <row r="74" spans="3:9">
      <c r="C74" s="573"/>
      <c r="D74" s="565"/>
      <c r="E74" s="573"/>
      <c r="F74" s="573"/>
      <c r="G74" s="565"/>
      <c r="H74" s="565"/>
      <c r="I74" s="565"/>
    </row>
    <row r="75" spans="3:9">
      <c r="C75" s="573"/>
      <c r="D75" s="565"/>
      <c r="E75" s="573"/>
      <c r="F75" s="573"/>
      <c r="G75" s="565"/>
      <c r="H75" s="565"/>
      <c r="I75" s="565"/>
    </row>
    <row r="76" spans="3:9">
      <c r="C76" s="573"/>
      <c r="D76" s="565"/>
      <c r="E76" s="573"/>
      <c r="F76" s="573"/>
      <c r="G76" s="565"/>
      <c r="H76" s="565"/>
      <c r="I76" s="565"/>
    </row>
    <row r="77" spans="3:9">
      <c r="C77" s="573"/>
      <c r="D77" s="565"/>
      <c r="E77" s="573"/>
      <c r="F77" s="573"/>
      <c r="G77" s="565"/>
      <c r="H77" s="565"/>
      <c r="I77" s="565"/>
    </row>
    <row r="78" spans="3:9">
      <c r="C78" s="573"/>
      <c r="D78" s="565"/>
      <c r="E78" s="573"/>
      <c r="F78" s="573"/>
      <c r="G78" s="565"/>
      <c r="H78" s="565"/>
      <c r="I78" s="565"/>
    </row>
    <row r="79" spans="3:9">
      <c r="C79" s="573"/>
      <c r="D79" s="565"/>
      <c r="E79" s="573"/>
      <c r="F79" s="573"/>
      <c r="G79" s="565"/>
      <c r="H79" s="565"/>
      <c r="I79" s="565"/>
    </row>
    <row r="80" spans="3:9">
      <c r="C80" s="573"/>
      <c r="D80" s="565"/>
      <c r="E80" s="573"/>
      <c r="F80" s="573"/>
      <c r="G80" s="565"/>
      <c r="H80" s="565"/>
      <c r="I80" s="565"/>
    </row>
    <row r="81" spans="3:9">
      <c r="C81" s="573"/>
      <c r="D81" s="565"/>
      <c r="E81" s="573"/>
      <c r="F81" s="573"/>
      <c r="G81" s="565"/>
      <c r="H81" s="565"/>
      <c r="I81" s="565"/>
    </row>
    <row r="82" spans="3:9">
      <c r="C82" s="573"/>
      <c r="D82" s="565"/>
      <c r="E82" s="573"/>
      <c r="F82" s="573"/>
      <c r="G82" s="565"/>
      <c r="H82" s="565"/>
      <c r="I82" s="565"/>
    </row>
    <row r="83" spans="3:9">
      <c r="C83" s="573"/>
      <c r="D83" s="565"/>
      <c r="E83" s="573"/>
      <c r="F83" s="573"/>
      <c r="G83" s="565"/>
      <c r="H83" s="565"/>
      <c r="I83" s="565"/>
    </row>
    <row r="84" spans="3:9">
      <c r="C84" s="573"/>
      <c r="D84" s="565"/>
      <c r="E84" s="573"/>
      <c r="F84" s="573"/>
      <c r="G84" s="565"/>
      <c r="H84" s="565"/>
      <c r="I84" s="565"/>
    </row>
    <row r="85" spans="3:9">
      <c r="C85" s="573"/>
      <c r="D85" s="565"/>
      <c r="E85" s="573"/>
      <c r="F85" s="573"/>
      <c r="G85" s="565"/>
      <c r="H85" s="565"/>
      <c r="I85" s="565"/>
    </row>
    <row r="86" spans="3:9">
      <c r="C86" s="573"/>
      <c r="D86" s="565"/>
      <c r="E86" s="573"/>
      <c r="F86" s="573"/>
      <c r="G86" s="565"/>
      <c r="H86" s="565"/>
      <c r="I86" s="565"/>
    </row>
    <row r="87" spans="3:9">
      <c r="C87" s="573"/>
      <c r="D87" s="565"/>
      <c r="E87" s="573"/>
      <c r="F87" s="573"/>
      <c r="G87" s="565"/>
      <c r="H87" s="565"/>
      <c r="I87" s="565"/>
    </row>
    <row r="88" spans="3:9">
      <c r="C88" s="573"/>
      <c r="D88" s="565"/>
      <c r="E88" s="573"/>
      <c r="F88" s="573"/>
      <c r="G88" s="565"/>
      <c r="H88" s="565"/>
      <c r="I88" s="565"/>
    </row>
    <row r="89" spans="3:9">
      <c r="C89" s="573"/>
      <c r="D89" s="565"/>
      <c r="E89" s="573"/>
      <c r="F89" s="573"/>
      <c r="G89" s="565"/>
      <c r="H89" s="565"/>
      <c r="I89" s="565"/>
    </row>
    <row r="90" spans="3:9">
      <c r="C90" s="573"/>
      <c r="D90" s="565"/>
      <c r="E90" s="573"/>
      <c r="F90" s="573"/>
      <c r="G90" s="565"/>
      <c r="H90" s="565"/>
      <c r="I90" s="565"/>
    </row>
    <row r="91" spans="3:9">
      <c r="C91" s="573"/>
      <c r="D91" s="565"/>
      <c r="E91" s="573"/>
      <c r="F91" s="573"/>
      <c r="G91" s="565"/>
      <c r="H91" s="565"/>
      <c r="I91" s="565"/>
    </row>
    <row r="92" spans="3:9">
      <c r="C92" s="573"/>
      <c r="D92" s="565"/>
      <c r="E92" s="573"/>
      <c r="F92" s="573"/>
      <c r="G92" s="565"/>
      <c r="H92" s="565"/>
      <c r="I92" s="565"/>
    </row>
    <row r="93" spans="3:9">
      <c r="C93" s="573"/>
      <c r="D93" s="565"/>
      <c r="E93" s="573"/>
      <c r="F93" s="573"/>
      <c r="G93" s="565"/>
      <c r="H93" s="565"/>
      <c r="I93" s="565"/>
    </row>
    <row r="94" spans="3:9">
      <c r="C94" s="573"/>
      <c r="D94" s="565"/>
      <c r="E94" s="573"/>
      <c r="F94" s="573"/>
      <c r="G94" s="565"/>
      <c r="H94" s="565"/>
      <c r="I94" s="565"/>
    </row>
    <row r="95" spans="3:9">
      <c r="C95" s="573"/>
      <c r="D95" s="565"/>
      <c r="E95" s="573"/>
      <c r="F95" s="573"/>
      <c r="G95" s="565"/>
      <c r="H95" s="565"/>
      <c r="I95" s="565"/>
    </row>
    <row r="96" spans="3:9">
      <c r="C96" s="573"/>
      <c r="D96" s="565"/>
      <c r="E96" s="573"/>
      <c r="F96" s="573"/>
      <c r="G96" s="565"/>
      <c r="H96" s="565"/>
      <c r="I96" s="565"/>
    </row>
    <row r="97" spans="3:9">
      <c r="C97" s="573"/>
      <c r="D97" s="565"/>
      <c r="E97" s="573"/>
      <c r="F97" s="573"/>
      <c r="G97" s="565"/>
      <c r="H97" s="565"/>
      <c r="I97" s="565"/>
    </row>
    <row r="98" spans="3:9">
      <c r="C98" s="573"/>
      <c r="D98" s="565"/>
      <c r="E98" s="573"/>
      <c r="F98" s="573"/>
      <c r="G98" s="565"/>
      <c r="H98" s="565"/>
      <c r="I98" s="565"/>
    </row>
    <row r="99" spans="3:9">
      <c r="C99" s="573"/>
      <c r="D99" s="565"/>
      <c r="E99" s="573"/>
      <c r="F99" s="573"/>
      <c r="G99" s="565"/>
      <c r="H99" s="565"/>
      <c r="I99" s="565"/>
    </row>
    <row r="100" spans="3:9">
      <c r="C100" s="573"/>
      <c r="D100" s="565"/>
      <c r="E100" s="573"/>
      <c r="F100" s="573"/>
      <c r="G100" s="565"/>
      <c r="H100" s="565"/>
      <c r="I100" s="565"/>
    </row>
    <row r="101" spans="3:9">
      <c r="C101" s="573"/>
      <c r="D101" s="565"/>
      <c r="E101" s="573"/>
      <c r="F101" s="573"/>
      <c r="G101" s="565"/>
      <c r="H101" s="565"/>
      <c r="I101" s="565"/>
    </row>
    <row r="102" spans="3:9">
      <c r="C102" s="573"/>
      <c r="D102" s="565"/>
      <c r="E102" s="573"/>
      <c r="F102" s="573"/>
      <c r="G102" s="565"/>
      <c r="H102" s="565"/>
      <c r="I102" s="565"/>
    </row>
    <row r="103" spans="3:9">
      <c r="C103" s="573"/>
      <c r="D103" s="565"/>
      <c r="E103" s="573"/>
      <c r="F103" s="573"/>
      <c r="G103" s="565"/>
      <c r="H103" s="565"/>
      <c r="I103" s="565"/>
    </row>
    <row r="104" spans="3:9">
      <c r="C104" s="573"/>
      <c r="D104" s="565"/>
      <c r="E104" s="573"/>
      <c r="F104" s="573"/>
      <c r="G104" s="565"/>
      <c r="H104" s="565"/>
      <c r="I104" s="565"/>
    </row>
    <row r="105" spans="3:9">
      <c r="C105" s="573"/>
      <c r="D105" s="565"/>
      <c r="E105" s="573"/>
      <c r="F105" s="573"/>
      <c r="G105" s="565"/>
      <c r="H105" s="565"/>
      <c r="I105" s="565"/>
    </row>
    <row r="106" spans="3:9">
      <c r="C106" s="573"/>
      <c r="D106" s="565"/>
      <c r="E106" s="573"/>
      <c r="F106" s="573"/>
      <c r="G106" s="565"/>
      <c r="H106" s="565"/>
      <c r="I106" s="565"/>
    </row>
    <row r="107" spans="3:9">
      <c r="C107" s="573"/>
      <c r="D107" s="565"/>
      <c r="E107" s="573"/>
      <c r="F107" s="573"/>
      <c r="G107" s="565"/>
      <c r="H107" s="565"/>
      <c r="I107" s="565"/>
    </row>
    <row r="108" spans="3:9">
      <c r="C108" s="573"/>
      <c r="D108" s="565"/>
      <c r="E108" s="573"/>
      <c r="F108" s="573"/>
      <c r="G108" s="565"/>
      <c r="H108" s="565"/>
      <c r="I108" s="565"/>
    </row>
    <row r="109" spans="3:9">
      <c r="C109" s="573"/>
      <c r="D109" s="565"/>
      <c r="E109" s="573"/>
      <c r="F109" s="573"/>
      <c r="G109" s="565"/>
      <c r="H109" s="565"/>
      <c r="I109" s="565"/>
    </row>
    <row r="110" spans="3:9">
      <c r="C110" s="573"/>
      <c r="D110" s="565"/>
      <c r="E110" s="573"/>
      <c r="F110" s="573"/>
      <c r="G110" s="565"/>
      <c r="H110" s="565"/>
      <c r="I110" s="565"/>
    </row>
    <row r="111" spans="3:9">
      <c r="C111" s="573"/>
      <c r="D111" s="565"/>
      <c r="E111" s="573"/>
      <c r="F111" s="573"/>
      <c r="G111" s="565"/>
      <c r="H111" s="565"/>
      <c r="I111" s="565"/>
    </row>
    <row r="112" spans="3:9">
      <c r="C112" s="573"/>
      <c r="D112" s="565"/>
      <c r="E112" s="573"/>
      <c r="F112" s="573"/>
      <c r="G112" s="565"/>
      <c r="H112" s="565"/>
      <c r="I112" s="565"/>
    </row>
    <row r="113" spans="3:9">
      <c r="C113" s="573"/>
      <c r="D113" s="565"/>
      <c r="E113" s="573"/>
      <c r="F113" s="573"/>
      <c r="G113" s="565"/>
      <c r="H113" s="565"/>
      <c r="I113" s="565"/>
    </row>
    <row r="114" spans="3:9">
      <c r="C114" s="573"/>
      <c r="D114" s="565"/>
      <c r="E114" s="573"/>
      <c r="F114" s="573"/>
      <c r="G114" s="565"/>
      <c r="H114" s="565"/>
      <c r="I114" s="565"/>
    </row>
    <row r="115" spans="3:9">
      <c r="C115" s="573"/>
      <c r="D115" s="565"/>
      <c r="E115" s="573"/>
      <c r="F115" s="573"/>
      <c r="G115" s="565"/>
      <c r="H115" s="565"/>
      <c r="I115" s="565"/>
    </row>
    <row r="116" spans="3:9">
      <c r="C116" s="573"/>
      <c r="D116" s="565"/>
      <c r="E116" s="573"/>
      <c r="F116" s="573"/>
      <c r="G116" s="565"/>
      <c r="H116" s="565"/>
      <c r="I116" s="565"/>
    </row>
    <row r="117" spans="3:9">
      <c r="C117" s="573"/>
      <c r="D117" s="565"/>
      <c r="E117" s="573"/>
      <c r="F117" s="573"/>
      <c r="G117" s="565"/>
      <c r="H117" s="565"/>
      <c r="I117" s="565"/>
    </row>
    <row r="118" spans="3:9">
      <c r="C118" s="573"/>
      <c r="D118" s="565"/>
      <c r="E118" s="573"/>
      <c r="F118" s="573"/>
      <c r="G118" s="565"/>
      <c r="H118" s="565"/>
      <c r="I118" s="565"/>
    </row>
    <row r="119" spans="3:9">
      <c r="C119" s="573"/>
      <c r="D119" s="565"/>
      <c r="E119" s="573"/>
      <c r="F119" s="573"/>
      <c r="G119" s="565"/>
      <c r="H119" s="565"/>
      <c r="I119" s="565"/>
    </row>
    <row r="120" spans="3:9">
      <c r="C120" s="573"/>
      <c r="D120" s="565"/>
      <c r="E120" s="573"/>
      <c r="F120" s="573"/>
      <c r="G120" s="565"/>
      <c r="H120" s="565"/>
      <c r="I120" s="565"/>
    </row>
    <row r="121" spans="3:9">
      <c r="C121" s="573"/>
      <c r="D121" s="565"/>
      <c r="E121" s="573"/>
      <c r="F121" s="573"/>
      <c r="G121" s="565"/>
      <c r="H121" s="565"/>
      <c r="I121" s="565"/>
    </row>
    <row r="122" spans="3:9">
      <c r="C122" s="573"/>
      <c r="D122" s="565"/>
      <c r="E122" s="573"/>
      <c r="F122" s="573"/>
      <c r="G122" s="565"/>
      <c r="H122" s="565"/>
      <c r="I122" s="565"/>
    </row>
    <row r="123" spans="3:9">
      <c r="C123" s="573"/>
      <c r="D123" s="565"/>
      <c r="E123" s="573"/>
      <c r="F123" s="573"/>
      <c r="G123" s="565"/>
      <c r="H123" s="565"/>
      <c r="I123" s="565"/>
    </row>
    <row r="124" spans="3:9">
      <c r="C124" s="573"/>
      <c r="D124" s="565"/>
      <c r="E124" s="573"/>
      <c r="F124" s="573"/>
      <c r="G124" s="565"/>
      <c r="H124" s="565"/>
      <c r="I124" s="565"/>
    </row>
    <row r="125" spans="3:9">
      <c r="C125" s="573"/>
      <c r="D125" s="565"/>
      <c r="E125" s="573"/>
      <c r="F125" s="573"/>
      <c r="G125" s="565"/>
      <c r="H125" s="565"/>
      <c r="I125" s="565"/>
    </row>
    <row r="126" spans="3:9">
      <c r="C126" s="573"/>
      <c r="D126" s="565"/>
      <c r="E126" s="573"/>
      <c r="F126" s="573"/>
      <c r="G126" s="565"/>
      <c r="H126" s="565"/>
      <c r="I126" s="565"/>
    </row>
    <row r="127" spans="3:9">
      <c r="C127" s="573"/>
      <c r="D127" s="565"/>
      <c r="E127" s="573"/>
      <c r="F127" s="573"/>
      <c r="G127" s="565"/>
      <c r="H127" s="565"/>
      <c r="I127" s="565"/>
    </row>
    <row r="128" spans="3:9">
      <c r="C128" s="573"/>
      <c r="D128" s="565"/>
      <c r="E128" s="573"/>
      <c r="F128" s="573"/>
      <c r="G128" s="565"/>
      <c r="H128" s="565"/>
      <c r="I128" s="565"/>
    </row>
    <row r="129" spans="3:9">
      <c r="C129" s="573"/>
      <c r="D129" s="565"/>
      <c r="E129" s="573"/>
      <c r="F129" s="573"/>
      <c r="G129" s="565"/>
      <c r="H129" s="565"/>
      <c r="I129" s="565"/>
    </row>
    <row r="130" spans="3:9">
      <c r="C130" s="573"/>
      <c r="D130" s="565"/>
      <c r="E130" s="573"/>
      <c r="F130" s="573"/>
      <c r="G130" s="565"/>
      <c r="H130" s="565"/>
      <c r="I130" s="565"/>
    </row>
    <row r="131" spans="3:9">
      <c r="C131" s="573"/>
      <c r="D131" s="565"/>
      <c r="E131" s="573"/>
      <c r="F131" s="573"/>
      <c r="G131" s="565"/>
      <c r="H131" s="565"/>
      <c r="I131" s="565"/>
    </row>
    <row r="132" spans="3:9">
      <c r="C132" s="573"/>
      <c r="D132" s="565"/>
      <c r="E132" s="573"/>
      <c r="F132" s="573"/>
      <c r="G132" s="565"/>
      <c r="H132" s="565"/>
      <c r="I132" s="565"/>
    </row>
    <row r="133" spans="3:9">
      <c r="C133" s="573"/>
      <c r="D133" s="565"/>
      <c r="E133" s="573"/>
      <c r="F133" s="573"/>
      <c r="G133" s="565"/>
      <c r="H133" s="565"/>
      <c r="I133" s="565"/>
    </row>
    <row r="134" spans="3:9">
      <c r="C134" s="573"/>
      <c r="D134" s="565"/>
      <c r="E134" s="573"/>
      <c r="F134" s="573"/>
      <c r="G134" s="565"/>
      <c r="H134" s="565"/>
      <c r="I134" s="565"/>
    </row>
    <row r="135" spans="3:9">
      <c r="C135" s="573"/>
      <c r="D135" s="565"/>
      <c r="E135" s="573"/>
      <c r="F135" s="573"/>
      <c r="G135" s="565"/>
      <c r="H135" s="565"/>
      <c r="I135" s="565"/>
    </row>
    <row r="136" spans="3:9">
      <c r="C136" s="573"/>
      <c r="D136" s="565"/>
      <c r="E136" s="573"/>
      <c r="F136" s="573"/>
      <c r="G136" s="565"/>
      <c r="H136" s="565"/>
      <c r="I136" s="565"/>
    </row>
    <row r="137" spans="3:9">
      <c r="C137" s="573"/>
      <c r="D137" s="565"/>
      <c r="E137" s="573"/>
      <c r="F137" s="573"/>
      <c r="G137" s="565"/>
      <c r="H137" s="565"/>
      <c r="I137" s="565"/>
    </row>
    <row r="138" spans="3:9">
      <c r="C138" s="573"/>
      <c r="D138" s="565"/>
      <c r="E138" s="573"/>
      <c r="F138" s="573"/>
      <c r="G138" s="565"/>
      <c r="H138" s="565"/>
      <c r="I138" s="565"/>
    </row>
    <row r="139" spans="3:9">
      <c r="C139" s="573"/>
      <c r="D139" s="565"/>
      <c r="E139" s="573"/>
      <c r="F139" s="573"/>
      <c r="G139" s="565"/>
      <c r="H139" s="565"/>
      <c r="I139" s="565"/>
    </row>
    <row r="140" spans="3:9">
      <c r="C140" s="573"/>
      <c r="D140" s="565"/>
      <c r="E140" s="573"/>
      <c r="F140" s="573"/>
      <c r="G140" s="565"/>
      <c r="H140" s="565"/>
      <c r="I140" s="565"/>
    </row>
    <row r="141" spans="3:9">
      <c r="C141" s="573"/>
      <c r="D141" s="565"/>
      <c r="E141" s="573"/>
      <c r="F141" s="573"/>
      <c r="G141" s="565"/>
      <c r="H141" s="565"/>
      <c r="I141" s="565"/>
    </row>
    <row r="142" spans="3:9">
      <c r="C142" s="573"/>
      <c r="D142" s="565"/>
      <c r="E142" s="573"/>
      <c r="F142" s="573"/>
      <c r="G142" s="565"/>
      <c r="H142" s="565"/>
      <c r="I142" s="565"/>
    </row>
    <row r="143" spans="3:9">
      <c r="C143" s="573"/>
      <c r="D143" s="565"/>
      <c r="E143" s="573"/>
      <c r="F143" s="573"/>
      <c r="G143" s="565"/>
      <c r="H143" s="565"/>
      <c r="I143" s="565"/>
    </row>
    <row r="144" spans="3:9">
      <c r="C144" s="573"/>
      <c r="D144" s="565"/>
      <c r="E144" s="573"/>
      <c r="F144" s="573"/>
      <c r="G144" s="565"/>
      <c r="H144" s="565"/>
      <c r="I144" s="565"/>
    </row>
    <row r="145" spans="3:9">
      <c r="C145" s="573"/>
      <c r="D145" s="565"/>
      <c r="E145" s="573"/>
      <c r="F145" s="573"/>
      <c r="G145" s="565"/>
      <c r="H145" s="565"/>
      <c r="I145" s="565"/>
    </row>
    <row r="146" spans="3:9">
      <c r="C146" s="573"/>
      <c r="D146" s="565"/>
      <c r="E146" s="573"/>
      <c r="F146" s="573"/>
      <c r="G146" s="565"/>
      <c r="H146" s="565"/>
      <c r="I146" s="565"/>
    </row>
    <row r="147" spans="3:9">
      <c r="C147" s="573"/>
      <c r="D147" s="565"/>
      <c r="E147" s="573"/>
      <c r="F147" s="573"/>
      <c r="G147" s="565"/>
      <c r="H147" s="565"/>
      <c r="I147" s="565"/>
    </row>
    <row r="148" spans="3:9">
      <c r="C148" s="573"/>
      <c r="D148" s="565"/>
      <c r="E148" s="573"/>
      <c r="F148" s="573"/>
      <c r="G148" s="565"/>
      <c r="H148" s="565"/>
      <c r="I148" s="565"/>
    </row>
    <row r="149" spans="3:9">
      <c r="C149" s="573"/>
      <c r="D149" s="565"/>
      <c r="E149" s="573"/>
      <c r="F149" s="573"/>
      <c r="G149" s="565"/>
      <c r="H149" s="565"/>
      <c r="I149" s="565"/>
    </row>
    <row r="150" spans="3:9">
      <c r="C150" s="573"/>
      <c r="D150" s="565"/>
      <c r="E150" s="573"/>
      <c r="F150" s="573"/>
      <c r="G150" s="565"/>
      <c r="H150" s="565"/>
      <c r="I150" s="565"/>
    </row>
    <row r="151" spans="3:9">
      <c r="C151" s="573"/>
      <c r="D151" s="565"/>
      <c r="E151" s="573"/>
      <c r="F151" s="573"/>
      <c r="G151" s="565"/>
      <c r="H151" s="565"/>
      <c r="I151" s="565"/>
    </row>
    <row r="152" spans="3:9">
      <c r="C152" s="573"/>
      <c r="D152" s="565"/>
      <c r="E152" s="573"/>
      <c r="F152" s="573"/>
      <c r="G152" s="565"/>
      <c r="H152" s="565"/>
      <c r="I152" s="565"/>
    </row>
    <row r="153" spans="3:9">
      <c r="C153" s="573"/>
      <c r="D153" s="565"/>
      <c r="E153" s="573"/>
      <c r="F153" s="573"/>
      <c r="G153" s="565"/>
      <c r="H153" s="565"/>
      <c r="I153" s="565"/>
    </row>
    <row r="154" spans="3:9">
      <c r="C154" s="573"/>
      <c r="D154" s="565"/>
      <c r="E154" s="573"/>
      <c r="F154" s="573"/>
      <c r="G154" s="565"/>
      <c r="H154" s="565"/>
      <c r="I154" s="565"/>
    </row>
    <row r="155" spans="3:9">
      <c r="C155" s="573"/>
      <c r="D155" s="565"/>
      <c r="E155" s="573"/>
      <c r="F155" s="573"/>
      <c r="G155" s="565"/>
      <c r="H155" s="565"/>
      <c r="I155" s="565"/>
    </row>
    <row r="156" spans="3:9">
      <c r="C156" s="573"/>
      <c r="D156" s="565"/>
      <c r="E156" s="573"/>
      <c r="F156" s="573"/>
      <c r="G156" s="565"/>
      <c r="H156" s="565"/>
      <c r="I156" s="565"/>
    </row>
    <row r="157" spans="3:9">
      <c r="C157" s="573"/>
      <c r="D157" s="565"/>
      <c r="E157" s="573"/>
      <c r="F157" s="573"/>
      <c r="G157" s="565"/>
      <c r="H157" s="565"/>
      <c r="I157" s="565"/>
    </row>
    <row r="158" spans="3:9">
      <c r="C158" s="573"/>
      <c r="D158" s="565"/>
      <c r="E158" s="573"/>
      <c r="F158" s="573"/>
      <c r="G158" s="565"/>
      <c r="H158" s="565"/>
      <c r="I158" s="565"/>
    </row>
    <row r="159" spans="3:9">
      <c r="C159" s="573"/>
      <c r="D159" s="565"/>
      <c r="E159" s="573"/>
      <c r="F159" s="573"/>
      <c r="G159" s="565"/>
      <c r="H159" s="565"/>
      <c r="I159" s="565"/>
    </row>
    <row r="160" spans="3:9">
      <c r="C160" s="573"/>
      <c r="D160" s="565"/>
      <c r="E160" s="573"/>
      <c r="F160" s="573"/>
      <c r="G160" s="565"/>
      <c r="H160" s="565"/>
      <c r="I160" s="565"/>
    </row>
    <row r="161" spans="3:9">
      <c r="C161" s="573"/>
      <c r="D161" s="565"/>
      <c r="E161" s="573"/>
      <c r="F161" s="573"/>
      <c r="G161" s="565"/>
      <c r="H161" s="565"/>
      <c r="I161" s="565"/>
    </row>
    <row r="162" spans="3:9">
      <c r="C162" s="573"/>
      <c r="D162" s="565"/>
      <c r="E162" s="573"/>
      <c r="F162" s="573"/>
      <c r="G162" s="565"/>
      <c r="H162" s="565"/>
      <c r="I162" s="565"/>
    </row>
    <row r="163" spans="3:9">
      <c r="C163" s="573"/>
      <c r="D163" s="565"/>
      <c r="E163" s="573"/>
      <c r="F163" s="573"/>
      <c r="G163" s="565"/>
      <c r="H163" s="565"/>
      <c r="I163" s="565"/>
    </row>
    <row r="164" spans="3:9">
      <c r="C164" s="573"/>
      <c r="D164" s="565"/>
      <c r="E164" s="573"/>
      <c r="F164" s="573"/>
      <c r="G164" s="565"/>
      <c r="H164" s="565"/>
      <c r="I164" s="565"/>
    </row>
    <row r="165" spans="3:9">
      <c r="C165" s="573"/>
      <c r="D165" s="565"/>
      <c r="E165" s="573"/>
      <c r="F165" s="573"/>
      <c r="G165" s="565"/>
      <c r="H165" s="565"/>
      <c r="I165" s="565"/>
    </row>
    <row r="166" spans="3:9">
      <c r="C166" s="573"/>
      <c r="D166" s="565"/>
      <c r="E166" s="573"/>
      <c r="F166" s="573"/>
      <c r="G166" s="565"/>
      <c r="H166" s="565"/>
      <c r="I166" s="565"/>
    </row>
    <row r="167" spans="3:9">
      <c r="C167" s="573"/>
      <c r="D167" s="565"/>
      <c r="E167" s="573"/>
      <c r="F167" s="573"/>
      <c r="G167" s="565"/>
      <c r="H167" s="565"/>
      <c r="I167" s="565"/>
    </row>
    <row r="168" spans="3:9">
      <c r="C168" s="573"/>
      <c r="D168" s="565"/>
      <c r="E168" s="573"/>
      <c r="F168" s="573"/>
      <c r="G168" s="565"/>
      <c r="H168" s="565"/>
      <c r="I168" s="565"/>
    </row>
    <row r="169" spans="3:9">
      <c r="C169" s="573"/>
      <c r="D169" s="565"/>
      <c r="E169" s="573"/>
      <c r="F169" s="573"/>
      <c r="G169" s="565"/>
      <c r="H169" s="565"/>
      <c r="I169" s="565"/>
    </row>
    <row r="170" spans="3:9">
      <c r="C170" s="573"/>
      <c r="D170" s="565"/>
      <c r="E170" s="573"/>
      <c r="F170" s="573"/>
      <c r="G170" s="565"/>
      <c r="H170" s="565"/>
      <c r="I170" s="565"/>
    </row>
    <row r="171" spans="3:9">
      <c r="C171" s="573"/>
      <c r="D171" s="565"/>
      <c r="E171" s="573"/>
      <c r="F171" s="573"/>
      <c r="G171" s="565"/>
      <c r="H171" s="565"/>
      <c r="I171" s="565"/>
    </row>
    <row r="172" spans="3:9">
      <c r="C172" s="573"/>
      <c r="D172" s="565"/>
      <c r="E172" s="573"/>
      <c r="F172" s="573"/>
      <c r="G172" s="565"/>
      <c r="H172" s="565"/>
      <c r="I172" s="565"/>
    </row>
    <row r="173" spans="3:9">
      <c r="C173" s="573"/>
      <c r="D173" s="565"/>
      <c r="E173" s="573"/>
      <c r="F173" s="573"/>
      <c r="G173" s="565"/>
      <c r="H173" s="565"/>
      <c r="I173" s="565"/>
    </row>
    <row r="174" spans="3:9">
      <c r="C174" s="573"/>
      <c r="D174" s="565"/>
      <c r="E174" s="573"/>
      <c r="F174" s="573"/>
      <c r="G174" s="565"/>
      <c r="H174" s="565"/>
      <c r="I174" s="565"/>
    </row>
    <row r="175" spans="3:9">
      <c r="C175" s="573"/>
      <c r="D175" s="565"/>
      <c r="E175" s="573"/>
      <c r="F175" s="573"/>
      <c r="G175" s="565"/>
      <c r="H175" s="565"/>
      <c r="I175" s="565"/>
    </row>
    <row r="176" spans="3:9">
      <c r="C176" s="573"/>
      <c r="D176" s="565"/>
      <c r="E176" s="573"/>
      <c r="F176" s="573"/>
      <c r="G176" s="565"/>
      <c r="H176" s="565"/>
      <c r="I176" s="565"/>
    </row>
    <row r="177" spans="3:9">
      <c r="C177" s="573"/>
      <c r="D177" s="565"/>
      <c r="E177" s="573"/>
      <c r="F177" s="573"/>
      <c r="G177" s="565"/>
      <c r="H177" s="565"/>
      <c r="I177" s="565"/>
    </row>
    <row r="178" spans="3:9">
      <c r="C178" s="573"/>
      <c r="D178" s="565"/>
      <c r="E178" s="573"/>
      <c r="F178" s="573"/>
      <c r="G178" s="565"/>
      <c r="H178" s="565"/>
      <c r="I178" s="565"/>
    </row>
    <row r="179" spans="3:9">
      <c r="C179" s="573"/>
      <c r="D179" s="565"/>
      <c r="E179" s="573"/>
      <c r="F179" s="573"/>
      <c r="G179" s="565"/>
      <c r="H179" s="565"/>
      <c r="I179" s="565"/>
    </row>
    <row r="180" spans="3:9">
      <c r="C180" s="573"/>
      <c r="D180" s="565"/>
      <c r="E180" s="573"/>
      <c r="F180" s="573"/>
      <c r="G180" s="565"/>
      <c r="H180" s="565"/>
      <c r="I180" s="565"/>
    </row>
    <row r="181" spans="3:9">
      <c r="C181" s="573"/>
      <c r="D181" s="565"/>
      <c r="E181" s="573"/>
      <c r="F181" s="573"/>
      <c r="G181" s="565"/>
      <c r="H181" s="565"/>
      <c r="I181" s="565"/>
    </row>
    <row r="182" spans="3:9">
      <c r="C182" s="573"/>
      <c r="D182" s="565"/>
      <c r="E182" s="573"/>
      <c r="F182" s="573"/>
      <c r="G182" s="565"/>
      <c r="H182" s="565"/>
      <c r="I182" s="565"/>
    </row>
    <row r="183" spans="3:9">
      <c r="C183" s="573"/>
      <c r="D183" s="565"/>
      <c r="E183" s="573"/>
      <c r="F183" s="573"/>
      <c r="G183" s="565"/>
      <c r="H183" s="565"/>
      <c r="I183" s="565"/>
    </row>
    <row r="184" spans="3:9">
      <c r="C184" s="573"/>
      <c r="D184" s="565"/>
      <c r="E184" s="573"/>
      <c r="F184" s="573"/>
      <c r="G184" s="565"/>
      <c r="H184" s="565"/>
      <c r="I184" s="565"/>
    </row>
    <row r="185" spans="3:9">
      <c r="C185" s="573"/>
      <c r="D185" s="565"/>
      <c r="E185" s="573"/>
      <c r="F185" s="573"/>
      <c r="G185" s="565"/>
      <c r="H185" s="565"/>
      <c r="I185" s="565"/>
    </row>
    <row r="186" spans="3:9">
      <c r="C186" s="573"/>
      <c r="D186" s="565"/>
      <c r="E186" s="573"/>
      <c r="F186" s="573"/>
      <c r="G186" s="565"/>
      <c r="H186" s="565"/>
      <c r="I186" s="565"/>
    </row>
    <row r="187" spans="3:9">
      <c r="C187" s="573"/>
      <c r="D187" s="565"/>
      <c r="E187" s="573"/>
      <c r="F187" s="573"/>
      <c r="G187" s="565"/>
      <c r="H187" s="565"/>
      <c r="I187" s="565"/>
    </row>
    <row r="188" spans="3:9">
      <c r="C188" s="573"/>
      <c r="D188" s="565"/>
      <c r="E188" s="573"/>
      <c r="F188" s="573"/>
      <c r="G188" s="565"/>
      <c r="H188" s="565"/>
      <c r="I188" s="565"/>
    </row>
    <row r="189" spans="3:9">
      <c r="C189" s="573"/>
      <c r="D189" s="565"/>
      <c r="E189" s="573"/>
      <c r="F189" s="573"/>
      <c r="G189" s="565"/>
      <c r="H189" s="565"/>
      <c r="I189" s="565"/>
    </row>
    <row r="190" spans="3:9">
      <c r="C190" s="573"/>
      <c r="D190" s="565"/>
      <c r="E190" s="573"/>
      <c r="F190" s="573"/>
      <c r="G190" s="565"/>
      <c r="H190" s="565"/>
      <c r="I190" s="565"/>
    </row>
    <row r="191" spans="3:9">
      <c r="C191" s="573"/>
      <c r="D191" s="565"/>
      <c r="E191" s="573"/>
      <c r="F191" s="573"/>
      <c r="G191" s="565"/>
      <c r="H191" s="565"/>
      <c r="I191" s="565"/>
    </row>
    <row r="192" spans="3:9">
      <c r="C192" s="573"/>
      <c r="D192" s="565"/>
      <c r="E192" s="573"/>
      <c r="F192" s="573"/>
      <c r="G192" s="565"/>
      <c r="H192" s="565"/>
      <c r="I192" s="565"/>
    </row>
    <row r="193" spans="3:9">
      <c r="C193" s="573"/>
      <c r="D193" s="565"/>
      <c r="E193" s="573"/>
      <c r="F193" s="573"/>
      <c r="G193" s="565"/>
      <c r="H193" s="565"/>
      <c r="I193" s="565"/>
    </row>
    <row r="194" spans="3:9">
      <c r="C194" s="573"/>
      <c r="D194" s="565"/>
      <c r="E194" s="573"/>
      <c r="F194" s="573"/>
      <c r="G194" s="565"/>
      <c r="H194" s="565"/>
      <c r="I194" s="565"/>
    </row>
    <row r="195" spans="3:9">
      <c r="C195" s="573"/>
      <c r="D195" s="565"/>
      <c r="E195" s="573"/>
      <c r="F195" s="573"/>
      <c r="G195" s="565"/>
      <c r="H195" s="565"/>
      <c r="I195" s="565"/>
    </row>
    <row r="196" spans="3:9">
      <c r="C196" s="573"/>
      <c r="D196" s="565"/>
      <c r="E196" s="573"/>
      <c r="F196" s="573"/>
      <c r="G196" s="565"/>
      <c r="H196" s="565"/>
      <c r="I196" s="565"/>
    </row>
    <row r="197" spans="3:9">
      <c r="C197" s="573"/>
      <c r="D197" s="565"/>
      <c r="E197" s="573"/>
      <c r="F197" s="573"/>
      <c r="G197" s="565"/>
      <c r="H197" s="565"/>
      <c r="I197" s="565"/>
    </row>
    <row r="198" spans="3:9">
      <c r="C198" s="573"/>
      <c r="D198" s="565"/>
      <c r="E198" s="573"/>
      <c r="F198" s="573"/>
      <c r="G198" s="565"/>
      <c r="H198" s="565"/>
      <c r="I198" s="565"/>
    </row>
    <row r="199" spans="3:9">
      <c r="C199" s="573"/>
      <c r="D199" s="565"/>
      <c r="E199" s="573"/>
      <c r="F199" s="573"/>
      <c r="G199" s="565"/>
      <c r="H199" s="565"/>
      <c r="I199" s="565"/>
    </row>
    <row r="200" spans="3:9">
      <c r="C200" s="573"/>
      <c r="D200" s="565"/>
      <c r="E200" s="573"/>
      <c r="F200" s="573"/>
      <c r="G200" s="565"/>
      <c r="H200" s="565"/>
      <c r="I200" s="565"/>
    </row>
    <row r="201" spans="3:9">
      <c r="C201" s="573"/>
      <c r="D201" s="565"/>
      <c r="E201" s="573"/>
      <c r="F201" s="573"/>
      <c r="G201" s="565"/>
      <c r="H201" s="565"/>
      <c r="I201" s="565"/>
    </row>
    <row r="202" spans="3:9">
      <c r="C202" s="573"/>
      <c r="D202" s="565"/>
      <c r="E202" s="573"/>
      <c r="F202" s="573"/>
      <c r="G202" s="565"/>
      <c r="H202" s="565"/>
      <c r="I202" s="565"/>
    </row>
    <row r="203" spans="3:9">
      <c r="C203" s="573"/>
      <c r="D203" s="565"/>
      <c r="E203" s="573"/>
      <c r="F203" s="573"/>
      <c r="G203" s="565"/>
      <c r="H203" s="565"/>
      <c r="I203" s="565"/>
    </row>
    <row r="204" spans="3:9">
      <c r="C204" s="573"/>
      <c r="D204" s="565"/>
      <c r="E204" s="573"/>
      <c r="F204" s="573"/>
      <c r="G204" s="565"/>
      <c r="H204" s="565"/>
      <c r="I204" s="565"/>
    </row>
    <row r="205" spans="3:9">
      <c r="C205" s="573"/>
      <c r="D205" s="565"/>
      <c r="E205" s="573"/>
      <c r="F205" s="573"/>
      <c r="G205" s="565"/>
      <c r="H205" s="565"/>
      <c r="I205" s="565"/>
    </row>
    <row r="206" spans="3:9">
      <c r="C206" s="573"/>
      <c r="D206" s="565"/>
      <c r="E206" s="573"/>
      <c r="F206" s="573"/>
      <c r="G206" s="565"/>
      <c r="H206" s="565"/>
      <c r="I206" s="565"/>
    </row>
    <row r="207" spans="3:9">
      <c r="C207" s="573"/>
      <c r="D207" s="565"/>
      <c r="E207" s="573"/>
      <c r="F207" s="573"/>
      <c r="G207" s="565"/>
      <c r="H207" s="565"/>
      <c r="I207" s="565"/>
    </row>
    <row r="208" spans="3:9">
      <c r="C208" s="573"/>
      <c r="D208" s="565"/>
      <c r="E208" s="573"/>
      <c r="F208" s="573"/>
      <c r="G208" s="565"/>
      <c r="H208" s="565"/>
      <c r="I208" s="565"/>
    </row>
    <row r="209" spans="3:9">
      <c r="C209" s="573"/>
      <c r="D209" s="565"/>
      <c r="E209" s="573"/>
      <c r="F209" s="573"/>
      <c r="G209" s="565"/>
      <c r="H209" s="565"/>
      <c r="I209" s="565"/>
    </row>
    <row r="210" spans="3:9">
      <c r="C210" s="573"/>
      <c r="D210" s="565"/>
      <c r="E210" s="573"/>
      <c r="F210" s="573"/>
      <c r="G210" s="565"/>
      <c r="H210" s="565"/>
      <c r="I210" s="565"/>
    </row>
    <row r="211" spans="3:9">
      <c r="C211" s="573"/>
      <c r="D211" s="565"/>
      <c r="E211" s="573"/>
      <c r="F211" s="573"/>
      <c r="G211" s="565"/>
      <c r="H211" s="565"/>
      <c r="I211" s="565"/>
    </row>
    <row r="212" spans="3:9">
      <c r="C212" s="573"/>
      <c r="D212" s="565"/>
      <c r="E212" s="573"/>
      <c r="F212" s="573"/>
      <c r="G212" s="565"/>
      <c r="H212" s="565"/>
      <c r="I212" s="565"/>
    </row>
    <row r="213" spans="3:9">
      <c r="C213" s="573"/>
      <c r="D213" s="565"/>
      <c r="E213" s="573"/>
      <c r="F213" s="573"/>
      <c r="G213" s="565"/>
      <c r="H213" s="565"/>
      <c r="I213" s="565"/>
    </row>
    <row r="214" spans="3:9">
      <c r="C214" s="573"/>
      <c r="D214" s="565"/>
      <c r="E214" s="573"/>
      <c r="F214" s="573"/>
      <c r="G214" s="565"/>
      <c r="H214" s="565"/>
      <c r="I214" s="565"/>
    </row>
    <row r="215" spans="3:9">
      <c r="C215" s="573"/>
      <c r="D215" s="565"/>
      <c r="E215" s="573"/>
      <c r="F215" s="573"/>
      <c r="G215" s="565"/>
      <c r="H215" s="565"/>
      <c r="I215" s="565"/>
    </row>
    <row r="216" spans="3:9">
      <c r="C216" s="573"/>
      <c r="D216" s="565"/>
      <c r="E216" s="573"/>
      <c r="F216" s="573"/>
      <c r="G216" s="565"/>
      <c r="H216" s="565"/>
      <c r="I216" s="565"/>
    </row>
    <row r="217" spans="3:9">
      <c r="C217" s="573"/>
      <c r="D217" s="565"/>
      <c r="E217" s="573"/>
      <c r="F217" s="573"/>
      <c r="G217" s="565"/>
      <c r="H217" s="565"/>
      <c r="I217" s="565"/>
    </row>
    <row r="218" spans="3:9">
      <c r="C218" s="573"/>
      <c r="D218" s="565"/>
      <c r="E218" s="573"/>
      <c r="F218" s="573"/>
      <c r="G218" s="565"/>
      <c r="H218" s="565"/>
      <c r="I218" s="565"/>
    </row>
    <row r="219" spans="3:9">
      <c r="C219" s="573"/>
      <c r="D219" s="565"/>
      <c r="E219" s="573"/>
      <c r="F219" s="573"/>
      <c r="G219" s="565"/>
      <c r="H219" s="565"/>
      <c r="I219" s="565"/>
    </row>
    <row r="220" spans="3:9">
      <c r="C220" s="573"/>
      <c r="D220" s="565"/>
      <c r="E220" s="573"/>
      <c r="F220" s="573"/>
      <c r="G220" s="565"/>
      <c r="H220" s="565"/>
      <c r="I220" s="565"/>
    </row>
    <row r="221" spans="3:9">
      <c r="C221" s="573"/>
      <c r="D221" s="565"/>
      <c r="E221" s="573"/>
      <c r="F221" s="573"/>
      <c r="G221" s="565"/>
      <c r="H221" s="565"/>
      <c r="I221" s="565"/>
    </row>
    <row r="222" spans="3:9">
      <c r="C222" s="573"/>
      <c r="D222" s="565"/>
      <c r="E222" s="573"/>
      <c r="F222" s="573"/>
      <c r="G222" s="565"/>
      <c r="H222" s="565"/>
      <c r="I222" s="565"/>
    </row>
    <row r="223" spans="3:9">
      <c r="C223" s="573"/>
      <c r="D223" s="565"/>
      <c r="E223" s="573"/>
      <c r="F223" s="573"/>
      <c r="G223" s="565"/>
      <c r="H223" s="565"/>
      <c r="I223" s="565"/>
    </row>
    <row r="224" spans="3:9">
      <c r="C224" s="573"/>
      <c r="D224" s="565"/>
      <c r="E224" s="573"/>
      <c r="F224" s="573"/>
      <c r="G224" s="565"/>
      <c r="H224" s="565"/>
      <c r="I224" s="565"/>
    </row>
    <row r="225" spans="3:9">
      <c r="C225" s="573"/>
      <c r="D225" s="565"/>
      <c r="E225" s="573"/>
      <c r="F225" s="573"/>
      <c r="G225" s="565"/>
      <c r="H225" s="565"/>
      <c r="I225" s="565"/>
    </row>
    <row r="226" spans="3:9">
      <c r="C226" s="573"/>
      <c r="D226" s="565"/>
      <c r="E226" s="573"/>
      <c r="F226" s="573"/>
      <c r="G226" s="565"/>
      <c r="H226" s="565"/>
      <c r="I226" s="565"/>
    </row>
    <row r="227" spans="3:9">
      <c r="C227" s="573"/>
      <c r="D227" s="565"/>
      <c r="E227" s="573"/>
      <c r="F227" s="573"/>
      <c r="G227" s="565"/>
      <c r="H227" s="565"/>
      <c r="I227" s="565"/>
    </row>
    <row r="228" spans="3:9">
      <c r="C228" s="573"/>
      <c r="D228" s="565"/>
      <c r="E228" s="573"/>
      <c r="F228" s="573"/>
      <c r="G228" s="565"/>
      <c r="H228" s="565"/>
      <c r="I228" s="565"/>
    </row>
    <row r="229" spans="3:9">
      <c r="C229" s="573"/>
      <c r="D229" s="565"/>
      <c r="E229" s="573"/>
      <c r="F229" s="573"/>
      <c r="G229" s="565"/>
      <c r="H229" s="565"/>
      <c r="I229" s="565"/>
    </row>
    <row r="230" spans="3:9">
      <c r="C230" s="573"/>
      <c r="D230" s="565"/>
      <c r="E230" s="573"/>
      <c r="F230" s="573"/>
      <c r="G230" s="565"/>
      <c r="H230" s="565"/>
      <c r="I230" s="565"/>
    </row>
    <row r="231" spans="3:9">
      <c r="C231" s="573"/>
      <c r="D231" s="565"/>
      <c r="E231" s="573"/>
      <c r="F231" s="573"/>
      <c r="G231" s="565"/>
      <c r="H231" s="565"/>
      <c r="I231" s="565"/>
    </row>
    <row r="232" spans="3:9">
      <c r="C232" s="573"/>
      <c r="D232" s="565"/>
      <c r="E232" s="573"/>
      <c r="F232" s="573"/>
      <c r="G232" s="565"/>
      <c r="H232" s="565"/>
      <c r="I232" s="565"/>
    </row>
    <row r="233" spans="3:9">
      <c r="C233" s="573"/>
      <c r="D233" s="565"/>
      <c r="E233" s="573"/>
      <c r="F233" s="573"/>
      <c r="G233" s="565"/>
      <c r="H233" s="565"/>
      <c r="I233" s="565"/>
    </row>
    <row r="234" spans="3:9">
      <c r="C234" s="573"/>
      <c r="D234" s="565"/>
      <c r="E234" s="573"/>
      <c r="F234" s="573"/>
      <c r="G234" s="565"/>
      <c r="H234" s="565"/>
      <c r="I234" s="565"/>
    </row>
    <row r="235" spans="3:9">
      <c r="C235" s="573"/>
      <c r="D235" s="565"/>
      <c r="E235" s="573"/>
      <c r="F235" s="573"/>
      <c r="G235" s="565"/>
      <c r="H235" s="565"/>
      <c r="I235" s="565"/>
    </row>
    <row r="236" spans="3:9">
      <c r="C236" s="573"/>
      <c r="D236" s="565"/>
      <c r="E236" s="573"/>
      <c r="F236" s="573"/>
      <c r="G236" s="565"/>
      <c r="H236" s="565"/>
      <c r="I236" s="565"/>
    </row>
    <row r="237" spans="3:9">
      <c r="C237" s="573"/>
      <c r="D237" s="565"/>
      <c r="E237" s="573"/>
      <c r="F237" s="573"/>
      <c r="G237" s="565"/>
      <c r="H237" s="565"/>
      <c r="I237" s="565"/>
    </row>
    <row r="238" spans="3:9">
      <c r="C238" s="573"/>
      <c r="D238" s="565"/>
      <c r="E238" s="573"/>
      <c r="F238" s="573"/>
      <c r="G238" s="565"/>
      <c r="H238" s="565"/>
      <c r="I238" s="565"/>
    </row>
    <row r="239" spans="3:9">
      <c r="C239" s="573"/>
      <c r="D239" s="565"/>
      <c r="E239" s="573"/>
      <c r="F239" s="573"/>
      <c r="G239" s="565"/>
      <c r="H239" s="565"/>
      <c r="I239" s="565"/>
    </row>
    <row r="240" spans="3:9">
      <c r="C240" s="573"/>
      <c r="D240" s="565"/>
      <c r="E240" s="573"/>
      <c r="F240" s="573"/>
      <c r="G240" s="565"/>
      <c r="H240" s="565"/>
      <c r="I240" s="565"/>
    </row>
    <row r="241" spans="3:9">
      <c r="C241" s="573"/>
      <c r="D241" s="565"/>
      <c r="E241" s="573"/>
      <c r="F241" s="573"/>
      <c r="G241" s="565"/>
      <c r="H241" s="565"/>
      <c r="I241" s="565"/>
    </row>
    <row r="242" spans="3:9">
      <c r="C242" s="573"/>
      <c r="D242" s="565"/>
      <c r="E242" s="573"/>
      <c r="F242" s="573"/>
      <c r="G242" s="565"/>
      <c r="H242" s="565"/>
      <c r="I242" s="565"/>
    </row>
    <row r="243" spans="3:9">
      <c r="C243" s="573"/>
      <c r="D243" s="565"/>
      <c r="E243" s="573"/>
      <c r="F243" s="573"/>
      <c r="G243" s="565"/>
      <c r="H243" s="565"/>
      <c r="I243" s="565"/>
    </row>
    <row r="244" spans="3:9">
      <c r="C244" s="573"/>
      <c r="D244" s="565"/>
      <c r="E244" s="573"/>
      <c r="F244" s="573"/>
      <c r="G244" s="565"/>
      <c r="H244" s="565"/>
      <c r="I244" s="565"/>
    </row>
    <row r="245" spans="3:9">
      <c r="C245" s="573"/>
      <c r="D245" s="565"/>
      <c r="E245" s="573"/>
      <c r="F245" s="573"/>
      <c r="G245" s="565"/>
      <c r="H245" s="565"/>
      <c r="I245" s="565"/>
    </row>
    <row r="246" spans="3:9">
      <c r="C246" s="573"/>
      <c r="D246" s="565"/>
      <c r="E246" s="573"/>
      <c r="F246" s="573"/>
      <c r="G246" s="565"/>
      <c r="H246" s="565"/>
      <c r="I246" s="565"/>
    </row>
    <row r="247" spans="3:9">
      <c r="C247" s="573"/>
      <c r="D247" s="565"/>
      <c r="E247" s="573"/>
      <c r="F247" s="573"/>
      <c r="G247" s="565"/>
      <c r="H247" s="565"/>
      <c r="I247" s="565"/>
    </row>
    <row r="248" spans="3:9">
      <c r="C248" s="573"/>
      <c r="D248" s="565"/>
      <c r="E248" s="573"/>
      <c r="F248" s="573"/>
      <c r="G248" s="565"/>
      <c r="H248" s="565"/>
      <c r="I248" s="565"/>
    </row>
    <row r="249" spans="3:9">
      <c r="C249" s="573"/>
      <c r="D249" s="565"/>
      <c r="E249" s="573"/>
      <c r="F249" s="573"/>
      <c r="G249" s="565"/>
      <c r="H249" s="565"/>
      <c r="I249" s="565"/>
    </row>
    <row r="250" spans="3:9">
      <c r="C250" s="573"/>
      <c r="D250" s="565"/>
      <c r="E250" s="573"/>
      <c r="F250" s="573"/>
      <c r="G250" s="565"/>
      <c r="H250" s="565"/>
      <c r="I250" s="565"/>
    </row>
    <row r="251" spans="3:9">
      <c r="C251" s="573"/>
      <c r="D251" s="565"/>
      <c r="E251" s="573"/>
      <c r="F251" s="573"/>
      <c r="G251" s="565"/>
      <c r="H251" s="565"/>
      <c r="I251" s="565"/>
    </row>
    <row r="252" spans="3:9">
      <c r="C252" s="573"/>
      <c r="D252" s="565"/>
      <c r="E252" s="573"/>
      <c r="F252" s="573"/>
      <c r="G252" s="565"/>
      <c r="H252" s="565"/>
      <c r="I252" s="565"/>
    </row>
    <row r="253" spans="3:9">
      <c r="C253" s="573"/>
      <c r="D253" s="565"/>
      <c r="E253" s="573"/>
      <c r="F253" s="573"/>
      <c r="G253" s="565"/>
      <c r="H253" s="565"/>
      <c r="I253" s="565"/>
    </row>
    <row r="254" spans="3:9">
      <c r="C254" s="573"/>
      <c r="D254" s="565"/>
      <c r="E254" s="573"/>
      <c r="F254" s="573"/>
      <c r="G254" s="565"/>
      <c r="H254" s="565"/>
      <c r="I254" s="565"/>
    </row>
    <row r="255" spans="3:9">
      <c r="C255" s="573"/>
      <c r="D255" s="565"/>
      <c r="E255" s="573"/>
      <c r="F255" s="573"/>
      <c r="G255" s="565"/>
      <c r="H255" s="565"/>
      <c r="I255" s="565"/>
    </row>
    <row r="256" spans="3:9">
      <c r="C256" s="573"/>
      <c r="D256" s="565"/>
      <c r="E256" s="573"/>
      <c r="F256" s="573"/>
      <c r="G256" s="565"/>
      <c r="H256" s="565"/>
      <c r="I256" s="565"/>
    </row>
    <row r="257" spans="3:9">
      <c r="C257" s="573"/>
      <c r="D257" s="565"/>
      <c r="E257" s="573"/>
      <c r="F257" s="573"/>
      <c r="G257" s="565"/>
      <c r="H257" s="565"/>
      <c r="I257" s="565"/>
    </row>
    <row r="258" spans="3:9">
      <c r="C258" s="573"/>
      <c r="D258" s="565"/>
      <c r="E258" s="573"/>
      <c r="F258" s="573"/>
      <c r="G258" s="565"/>
      <c r="H258" s="565"/>
      <c r="I258" s="565"/>
    </row>
    <row r="259" spans="3:9">
      <c r="C259" s="573"/>
      <c r="D259" s="565"/>
      <c r="E259" s="573"/>
      <c r="F259" s="573"/>
      <c r="G259" s="565"/>
      <c r="H259" s="565"/>
      <c r="I259" s="565"/>
    </row>
    <row r="260" spans="3:9">
      <c r="C260" s="573"/>
      <c r="D260" s="565"/>
      <c r="E260" s="573"/>
      <c r="F260" s="573"/>
      <c r="G260" s="565"/>
      <c r="H260" s="565"/>
      <c r="I260" s="565"/>
    </row>
    <row r="261" spans="3:9">
      <c r="C261" s="573"/>
      <c r="D261" s="565"/>
      <c r="E261" s="573"/>
      <c r="F261" s="573"/>
      <c r="G261" s="565"/>
      <c r="H261" s="565"/>
      <c r="I261" s="565"/>
    </row>
    <row r="262" spans="3:9">
      <c r="C262" s="573"/>
      <c r="D262" s="565"/>
      <c r="E262" s="573"/>
      <c r="F262" s="573"/>
      <c r="G262" s="565"/>
      <c r="H262" s="565"/>
      <c r="I262" s="565"/>
    </row>
    <row r="263" spans="3:9">
      <c r="C263" s="573"/>
      <c r="D263" s="565"/>
      <c r="E263" s="573"/>
      <c r="F263" s="573"/>
      <c r="G263" s="565"/>
      <c r="H263" s="565"/>
      <c r="I263" s="565"/>
    </row>
    <row r="264" spans="3:9">
      <c r="C264" s="573"/>
      <c r="D264" s="565"/>
      <c r="E264" s="573"/>
      <c r="F264" s="573"/>
      <c r="G264" s="565"/>
      <c r="H264" s="565"/>
      <c r="I264" s="565"/>
    </row>
    <row r="265" spans="3:9">
      <c r="C265" s="573"/>
      <c r="D265" s="565"/>
      <c r="E265" s="573"/>
      <c r="F265" s="573"/>
      <c r="G265" s="565"/>
      <c r="H265" s="565"/>
      <c r="I265" s="565"/>
    </row>
    <row r="266" spans="3:9">
      <c r="C266" s="573"/>
      <c r="D266" s="565"/>
      <c r="E266" s="573"/>
      <c r="F266" s="573"/>
      <c r="G266" s="565"/>
      <c r="H266" s="565"/>
      <c r="I266" s="565"/>
    </row>
    <row r="267" spans="3:9">
      <c r="C267" s="573"/>
      <c r="D267" s="565"/>
      <c r="E267" s="573"/>
      <c r="F267" s="573"/>
      <c r="G267" s="565"/>
      <c r="H267" s="565"/>
      <c r="I267" s="565"/>
    </row>
    <row r="268" spans="3:9">
      <c r="C268" s="573"/>
      <c r="D268" s="565"/>
      <c r="E268" s="573"/>
      <c r="F268" s="573"/>
      <c r="G268" s="565"/>
      <c r="H268" s="565"/>
      <c r="I268" s="565"/>
    </row>
    <row r="269" spans="3:9">
      <c r="C269" s="573"/>
      <c r="D269" s="565"/>
      <c r="E269" s="573"/>
      <c r="F269" s="573"/>
      <c r="G269" s="565"/>
      <c r="H269" s="565"/>
      <c r="I269" s="565"/>
    </row>
    <row r="270" spans="3:9">
      <c r="C270" s="573"/>
      <c r="D270" s="565"/>
      <c r="E270" s="573"/>
      <c r="F270" s="573"/>
      <c r="G270" s="565"/>
      <c r="H270" s="565"/>
      <c r="I270" s="565"/>
    </row>
    <row r="271" spans="3:9">
      <c r="C271" s="573"/>
      <c r="D271" s="565"/>
      <c r="E271" s="573"/>
      <c r="F271" s="573"/>
      <c r="G271" s="565"/>
      <c r="H271" s="565"/>
      <c r="I271" s="565"/>
    </row>
    <row r="272" spans="3:9">
      <c r="C272" s="573"/>
      <c r="D272" s="565"/>
      <c r="E272" s="573"/>
      <c r="F272" s="573"/>
      <c r="G272" s="565"/>
      <c r="H272" s="565"/>
      <c r="I272" s="565"/>
    </row>
    <row r="273" spans="3:9">
      <c r="C273" s="573"/>
      <c r="D273" s="565"/>
      <c r="E273" s="573"/>
      <c r="F273" s="573"/>
      <c r="G273" s="565"/>
      <c r="H273" s="565"/>
      <c r="I273" s="565"/>
    </row>
    <row r="274" spans="3:9">
      <c r="C274" s="573"/>
      <c r="D274" s="565"/>
      <c r="E274" s="573"/>
      <c r="F274" s="573"/>
      <c r="G274" s="565"/>
      <c r="H274" s="565"/>
      <c r="I274" s="565"/>
    </row>
    <row r="275" spans="3:9">
      <c r="C275" s="573"/>
      <c r="D275" s="565"/>
      <c r="E275" s="573"/>
      <c r="F275" s="573"/>
      <c r="G275" s="565"/>
      <c r="H275" s="565"/>
      <c r="I275" s="565"/>
    </row>
    <row r="276" spans="3:9">
      <c r="C276" s="573"/>
      <c r="D276" s="565"/>
      <c r="E276" s="573"/>
      <c r="F276" s="573"/>
      <c r="G276" s="565"/>
      <c r="H276" s="565"/>
      <c r="I276" s="565"/>
    </row>
    <row r="277" spans="3:9">
      <c r="C277" s="573"/>
      <c r="D277" s="565"/>
      <c r="E277" s="573"/>
      <c r="F277" s="573"/>
      <c r="G277" s="565"/>
      <c r="H277" s="565"/>
      <c r="I277" s="565"/>
    </row>
    <row r="278" spans="3:9">
      <c r="C278" s="573"/>
      <c r="D278" s="565"/>
      <c r="E278" s="573"/>
      <c r="F278" s="573"/>
      <c r="G278" s="565"/>
      <c r="H278" s="565"/>
      <c r="I278" s="565"/>
    </row>
    <row r="279" spans="3:9">
      <c r="C279" s="573"/>
      <c r="D279" s="565"/>
      <c r="E279" s="573"/>
      <c r="F279" s="573"/>
      <c r="G279" s="565"/>
      <c r="H279" s="565"/>
      <c r="I279" s="565"/>
    </row>
    <row r="280" spans="3:9">
      <c r="C280" s="573"/>
      <c r="D280" s="565"/>
      <c r="E280" s="573"/>
      <c r="F280" s="573"/>
      <c r="G280" s="565"/>
      <c r="H280" s="565"/>
      <c r="I280" s="565"/>
    </row>
    <row r="281" spans="3:9">
      <c r="C281" s="573"/>
      <c r="D281" s="565"/>
      <c r="E281" s="573"/>
      <c r="F281" s="573"/>
      <c r="G281" s="565"/>
      <c r="H281" s="565"/>
      <c r="I281" s="565"/>
    </row>
    <row r="282" spans="3:9">
      <c r="C282" s="573"/>
      <c r="D282" s="565"/>
      <c r="E282" s="573"/>
      <c r="F282" s="573"/>
      <c r="G282" s="565"/>
      <c r="H282" s="565"/>
      <c r="I282" s="565"/>
    </row>
    <row r="283" spans="3:9">
      <c r="C283" s="573"/>
      <c r="D283" s="565"/>
      <c r="E283" s="573"/>
      <c r="F283" s="573"/>
      <c r="G283" s="565"/>
      <c r="H283" s="565"/>
      <c r="I283" s="565"/>
    </row>
    <row r="284" spans="3:9">
      <c r="C284" s="573"/>
      <c r="D284" s="565"/>
      <c r="E284" s="573"/>
      <c r="F284" s="573"/>
      <c r="G284" s="565"/>
      <c r="H284" s="565"/>
      <c r="I284" s="565"/>
    </row>
    <row r="285" spans="3:9">
      <c r="C285" s="573"/>
      <c r="D285" s="565"/>
      <c r="E285" s="573"/>
      <c r="F285" s="573"/>
      <c r="G285" s="565"/>
      <c r="H285" s="565"/>
      <c r="I285" s="565"/>
    </row>
    <row r="286" spans="3:9">
      <c r="C286" s="573"/>
      <c r="D286" s="565"/>
      <c r="E286" s="573"/>
      <c r="F286" s="573"/>
      <c r="G286" s="565"/>
      <c r="H286" s="565"/>
      <c r="I286" s="565"/>
    </row>
    <row r="287" spans="3:9">
      <c r="C287" s="573"/>
      <c r="D287" s="565"/>
      <c r="E287" s="573"/>
      <c r="F287" s="573"/>
      <c r="G287" s="565"/>
      <c r="H287" s="565"/>
      <c r="I287" s="565"/>
    </row>
    <row r="288" spans="3:9">
      <c r="C288" s="573"/>
      <c r="D288" s="565"/>
      <c r="E288" s="573"/>
      <c r="F288" s="573"/>
      <c r="G288" s="565"/>
      <c r="H288" s="565"/>
      <c r="I288" s="565"/>
    </row>
    <row r="289" spans="3:9">
      <c r="C289" s="573"/>
      <c r="D289" s="565"/>
      <c r="E289" s="573"/>
      <c r="F289" s="573"/>
      <c r="G289" s="565"/>
      <c r="H289" s="565"/>
      <c r="I289" s="565"/>
    </row>
    <row r="290" spans="3:9">
      <c r="C290" s="573"/>
      <c r="D290" s="565"/>
      <c r="E290" s="573"/>
      <c r="F290" s="573"/>
      <c r="G290" s="565"/>
      <c r="H290" s="565"/>
      <c r="I290" s="565"/>
    </row>
    <row r="291" spans="3:9">
      <c r="C291" s="573"/>
      <c r="D291" s="565"/>
      <c r="E291" s="573"/>
      <c r="F291" s="573"/>
      <c r="G291" s="565"/>
      <c r="H291" s="565"/>
      <c r="I291" s="565"/>
    </row>
    <row r="292" spans="3:9">
      <c r="C292" s="573"/>
      <c r="D292" s="565"/>
      <c r="E292" s="573"/>
      <c r="F292" s="573"/>
      <c r="G292" s="565"/>
      <c r="H292" s="565"/>
      <c r="I292" s="565"/>
    </row>
    <row r="293" spans="3:9">
      <c r="C293" s="573"/>
      <c r="D293" s="565"/>
      <c r="E293" s="573"/>
      <c r="F293" s="573"/>
      <c r="G293" s="565"/>
      <c r="H293" s="565"/>
      <c r="I293" s="565"/>
    </row>
    <row r="294" spans="3:9">
      <c r="C294" s="573"/>
      <c r="D294" s="565"/>
      <c r="E294" s="573"/>
      <c r="F294" s="573"/>
      <c r="G294" s="565"/>
      <c r="H294" s="565"/>
      <c r="I294" s="565"/>
    </row>
    <row r="295" spans="3:9">
      <c r="C295" s="573"/>
      <c r="D295" s="565"/>
      <c r="E295" s="573"/>
      <c r="F295" s="573"/>
      <c r="G295" s="565"/>
      <c r="H295" s="565"/>
      <c r="I295" s="565"/>
    </row>
    <row r="296" spans="3:9">
      <c r="C296" s="573"/>
      <c r="D296" s="565"/>
      <c r="E296" s="573"/>
      <c r="F296" s="573"/>
      <c r="G296" s="565"/>
      <c r="H296" s="565"/>
      <c r="I296" s="565"/>
    </row>
    <row r="297" spans="3:9">
      <c r="C297" s="573"/>
      <c r="D297" s="565"/>
      <c r="E297" s="573"/>
      <c r="F297" s="573"/>
      <c r="G297" s="565"/>
      <c r="H297" s="565"/>
      <c r="I297" s="565"/>
    </row>
    <row r="298" spans="3:9">
      <c r="C298" s="573"/>
      <c r="D298" s="565"/>
      <c r="E298" s="573"/>
      <c r="F298" s="573"/>
      <c r="G298" s="565"/>
      <c r="H298" s="565"/>
      <c r="I298" s="565"/>
    </row>
    <row r="299" spans="3:9">
      <c r="C299" s="573"/>
      <c r="D299" s="565"/>
      <c r="E299" s="573"/>
      <c r="F299" s="573"/>
      <c r="G299" s="565"/>
      <c r="H299" s="565"/>
      <c r="I299" s="565"/>
    </row>
    <row r="300" spans="3:9">
      <c r="C300" s="573"/>
      <c r="D300" s="565"/>
      <c r="E300" s="573"/>
      <c r="F300" s="573"/>
      <c r="G300" s="565"/>
      <c r="H300" s="565"/>
      <c r="I300" s="565"/>
    </row>
    <row r="301" spans="3:9">
      <c r="C301" s="573"/>
      <c r="D301" s="565"/>
      <c r="E301" s="573"/>
      <c r="F301" s="573"/>
      <c r="G301" s="565"/>
      <c r="H301" s="565"/>
      <c r="I301" s="565"/>
    </row>
    <row r="302" spans="3:9">
      <c r="C302" s="573"/>
      <c r="D302" s="565"/>
      <c r="E302" s="573"/>
      <c r="F302" s="573"/>
      <c r="G302" s="565"/>
      <c r="H302" s="565"/>
      <c r="I302" s="565"/>
    </row>
    <row r="303" spans="3:9">
      <c r="C303" s="573"/>
      <c r="D303" s="565"/>
      <c r="E303" s="573"/>
      <c r="F303" s="573"/>
      <c r="G303" s="565"/>
      <c r="H303" s="565"/>
      <c r="I303" s="565"/>
    </row>
    <row r="304" spans="3:9">
      <c r="C304" s="573"/>
      <c r="D304" s="565"/>
      <c r="E304" s="573"/>
      <c r="F304" s="573"/>
      <c r="G304" s="565"/>
      <c r="H304" s="565"/>
      <c r="I304" s="565"/>
    </row>
    <row r="305" spans="3:9">
      <c r="C305" s="573"/>
      <c r="D305" s="565"/>
      <c r="E305" s="573"/>
      <c r="F305" s="573"/>
      <c r="G305" s="565"/>
      <c r="H305" s="565"/>
      <c r="I305" s="565"/>
    </row>
    <row r="306" spans="3:9">
      <c r="C306" s="573"/>
      <c r="D306" s="565"/>
      <c r="E306" s="573"/>
      <c r="F306" s="573"/>
      <c r="G306" s="565"/>
      <c r="H306" s="565"/>
      <c r="I306" s="565"/>
    </row>
    <row r="307" spans="3:9">
      <c r="C307" s="573"/>
      <c r="D307" s="565"/>
      <c r="E307" s="573"/>
      <c r="F307" s="573"/>
      <c r="G307" s="565"/>
      <c r="H307" s="565"/>
      <c r="I307" s="565"/>
    </row>
    <row r="308" spans="3:9">
      <c r="C308" s="573"/>
      <c r="D308" s="565"/>
      <c r="E308" s="573"/>
      <c r="F308" s="573"/>
      <c r="G308" s="565"/>
      <c r="H308" s="565"/>
      <c r="I308" s="565"/>
    </row>
    <row r="309" spans="3:9">
      <c r="C309" s="573"/>
      <c r="D309" s="565"/>
      <c r="E309" s="573"/>
      <c r="F309" s="573"/>
      <c r="G309" s="565"/>
      <c r="H309" s="565"/>
      <c r="I309" s="565"/>
    </row>
    <row r="310" spans="3:9">
      <c r="C310" s="573"/>
      <c r="D310" s="565"/>
      <c r="E310" s="573"/>
      <c r="F310" s="573"/>
      <c r="G310" s="565"/>
      <c r="H310" s="565"/>
      <c r="I310" s="565"/>
    </row>
    <row r="311" spans="3:9">
      <c r="C311" s="573"/>
      <c r="D311" s="565"/>
      <c r="E311" s="573"/>
      <c r="F311" s="573"/>
      <c r="G311" s="565"/>
      <c r="H311" s="565"/>
      <c r="I311" s="565"/>
    </row>
    <row r="312" spans="3:9">
      <c r="C312" s="573"/>
      <c r="D312" s="565"/>
      <c r="E312" s="573"/>
      <c r="F312" s="573"/>
      <c r="G312" s="565"/>
      <c r="H312" s="565"/>
      <c r="I312" s="565"/>
    </row>
    <row r="313" spans="3:9">
      <c r="C313" s="573"/>
      <c r="D313" s="565"/>
      <c r="E313" s="573"/>
      <c r="F313" s="573"/>
      <c r="G313" s="565"/>
      <c r="H313" s="565"/>
      <c r="I313" s="565"/>
    </row>
    <row r="314" spans="3:9">
      <c r="C314" s="573"/>
      <c r="D314" s="565"/>
      <c r="E314" s="573"/>
      <c r="F314" s="573"/>
      <c r="G314" s="565"/>
      <c r="H314" s="565"/>
      <c r="I314" s="565"/>
    </row>
    <row r="315" spans="3:9">
      <c r="C315" s="573"/>
      <c r="D315" s="565"/>
      <c r="E315" s="573"/>
      <c r="F315" s="573"/>
      <c r="G315" s="565"/>
      <c r="H315" s="565"/>
      <c r="I315" s="565"/>
    </row>
    <row r="316" spans="3:9">
      <c r="C316" s="573"/>
      <c r="D316" s="565"/>
      <c r="E316" s="573"/>
      <c r="F316" s="573"/>
      <c r="G316" s="565"/>
      <c r="H316" s="565"/>
      <c r="I316" s="565"/>
    </row>
    <row r="317" spans="3:9">
      <c r="C317" s="573"/>
      <c r="D317" s="565"/>
      <c r="E317" s="573"/>
      <c r="F317" s="573"/>
      <c r="G317" s="565"/>
      <c r="H317" s="565"/>
      <c r="I317" s="565"/>
    </row>
    <row r="318" spans="3:9">
      <c r="C318" s="573"/>
      <c r="D318" s="565"/>
      <c r="E318" s="573"/>
      <c r="F318" s="573"/>
      <c r="G318" s="565"/>
      <c r="H318" s="565"/>
      <c r="I318" s="565"/>
    </row>
    <row r="319" spans="3:9">
      <c r="C319" s="573"/>
      <c r="D319" s="565"/>
      <c r="E319" s="573"/>
      <c r="F319" s="573"/>
      <c r="G319" s="565"/>
      <c r="H319" s="565"/>
      <c r="I319" s="565"/>
    </row>
    <row r="320" spans="3:9">
      <c r="C320" s="573"/>
      <c r="D320" s="565"/>
      <c r="E320" s="573"/>
      <c r="F320" s="573"/>
      <c r="G320" s="565"/>
      <c r="H320" s="565"/>
      <c r="I320" s="565"/>
    </row>
    <row r="321" spans="3:9">
      <c r="C321" s="573"/>
      <c r="D321" s="565"/>
      <c r="E321" s="573"/>
      <c r="F321" s="573"/>
      <c r="G321" s="565"/>
      <c r="H321" s="565"/>
      <c r="I321" s="565"/>
    </row>
    <row r="322" spans="3:9">
      <c r="C322" s="573"/>
      <c r="D322" s="565"/>
      <c r="E322" s="573"/>
      <c r="F322" s="573"/>
      <c r="G322" s="565"/>
      <c r="H322" s="565"/>
      <c r="I322" s="565"/>
    </row>
    <row r="323" spans="3:9">
      <c r="C323" s="573"/>
      <c r="D323" s="565"/>
      <c r="E323" s="573"/>
      <c r="F323" s="573"/>
      <c r="G323" s="565"/>
      <c r="H323" s="565"/>
      <c r="I323" s="565"/>
    </row>
    <row r="324" spans="3:9">
      <c r="C324" s="573"/>
      <c r="D324" s="565"/>
      <c r="E324" s="573"/>
      <c r="F324" s="573"/>
      <c r="G324" s="565"/>
      <c r="H324" s="565"/>
      <c r="I324" s="565"/>
    </row>
    <row r="325" spans="3:9">
      <c r="C325" s="573"/>
      <c r="D325" s="565"/>
      <c r="E325" s="573"/>
      <c r="F325" s="573"/>
      <c r="G325" s="565"/>
      <c r="H325" s="565"/>
      <c r="I325" s="565"/>
    </row>
    <row r="326" spans="3:9">
      <c r="C326" s="573"/>
      <c r="D326" s="565"/>
      <c r="E326" s="573"/>
      <c r="F326" s="573"/>
      <c r="G326" s="565"/>
      <c r="H326" s="565"/>
      <c r="I326" s="565"/>
    </row>
    <row r="327" spans="3:9">
      <c r="C327" s="573"/>
      <c r="D327" s="565"/>
      <c r="E327" s="573"/>
      <c r="F327" s="573"/>
      <c r="G327" s="565"/>
      <c r="H327" s="565"/>
      <c r="I327" s="565"/>
    </row>
    <row r="328" spans="3:9">
      <c r="C328" s="573"/>
      <c r="D328" s="565"/>
      <c r="E328" s="573"/>
      <c r="F328" s="573"/>
      <c r="G328" s="565"/>
      <c r="H328" s="565"/>
      <c r="I328" s="565"/>
    </row>
    <row r="329" spans="3:9">
      <c r="C329" s="573"/>
      <c r="D329" s="565"/>
      <c r="E329" s="573"/>
      <c r="F329" s="573"/>
      <c r="G329" s="565"/>
      <c r="H329" s="565"/>
      <c r="I329" s="565"/>
    </row>
    <row r="330" spans="3:9">
      <c r="C330" s="573"/>
      <c r="D330" s="565"/>
      <c r="E330" s="573"/>
      <c r="F330" s="573"/>
      <c r="G330" s="565"/>
      <c r="H330" s="565"/>
      <c r="I330" s="565"/>
    </row>
    <row r="331" spans="3:9">
      <c r="C331" s="573"/>
      <c r="D331" s="565"/>
      <c r="E331" s="573"/>
      <c r="F331" s="573"/>
      <c r="G331" s="565"/>
      <c r="H331" s="565"/>
      <c r="I331" s="565"/>
    </row>
    <row r="332" spans="3:9">
      <c r="C332" s="573"/>
      <c r="D332" s="565"/>
      <c r="E332" s="573"/>
      <c r="F332" s="573"/>
      <c r="G332" s="565"/>
      <c r="H332" s="565"/>
      <c r="I332" s="565"/>
    </row>
    <row r="333" spans="3:9">
      <c r="C333" s="573"/>
      <c r="D333" s="565"/>
      <c r="E333" s="573"/>
      <c r="F333" s="573"/>
      <c r="G333" s="565"/>
      <c r="H333" s="565"/>
      <c r="I333" s="565"/>
    </row>
    <row r="334" spans="3:9">
      <c r="C334" s="573"/>
      <c r="D334" s="565"/>
      <c r="E334" s="573"/>
      <c r="F334" s="573"/>
      <c r="G334" s="565"/>
      <c r="H334" s="565"/>
      <c r="I334" s="565"/>
    </row>
    <row r="335" spans="3:9">
      <c r="C335" s="573"/>
      <c r="D335" s="565"/>
      <c r="E335" s="573"/>
      <c r="F335" s="573"/>
      <c r="G335" s="565"/>
      <c r="H335" s="565"/>
      <c r="I335" s="565"/>
    </row>
    <row r="336" spans="3:9">
      <c r="C336" s="573"/>
      <c r="D336" s="565"/>
      <c r="E336" s="573"/>
      <c r="F336" s="573"/>
      <c r="G336" s="565"/>
      <c r="H336" s="565"/>
      <c r="I336" s="565"/>
    </row>
    <row r="337" spans="3:9">
      <c r="C337" s="573"/>
      <c r="D337" s="565"/>
      <c r="E337" s="573"/>
      <c r="F337" s="573"/>
      <c r="G337" s="565"/>
      <c r="H337" s="565"/>
      <c r="I337" s="565"/>
    </row>
    <row r="338" spans="3:9">
      <c r="C338" s="573"/>
      <c r="D338" s="565"/>
      <c r="E338" s="573"/>
      <c r="F338" s="573"/>
      <c r="G338" s="565"/>
      <c r="H338" s="565"/>
      <c r="I338" s="565"/>
    </row>
    <row r="339" spans="3:9">
      <c r="C339" s="573"/>
      <c r="D339" s="565"/>
      <c r="E339" s="573"/>
      <c r="F339" s="573"/>
      <c r="G339" s="565"/>
      <c r="H339" s="565"/>
      <c r="I339" s="565"/>
    </row>
    <row r="340" spans="3:9">
      <c r="C340" s="573"/>
      <c r="D340" s="565"/>
      <c r="E340" s="573"/>
      <c r="F340" s="573"/>
      <c r="G340" s="565"/>
      <c r="H340" s="565"/>
      <c r="I340" s="565"/>
    </row>
    <row r="341" spans="3:9">
      <c r="C341" s="573"/>
      <c r="D341" s="565"/>
      <c r="E341" s="573"/>
      <c r="F341" s="573"/>
      <c r="G341" s="565"/>
      <c r="H341" s="565"/>
      <c r="I341" s="565"/>
    </row>
    <row r="342" spans="3:9">
      <c r="C342" s="573"/>
      <c r="D342" s="565"/>
      <c r="E342" s="573"/>
      <c r="F342" s="573"/>
      <c r="G342" s="565"/>
      <c r="H342" s="565"/>
      <c r="I342" s="565"/>
    </row>
    <row r="343" spans="3:9">
      <c r="C343" s="573"/>
      <c r="D343" s="565"/>
      <c r="E343" s="573"/>
      <c r="F343" s="573"/>
      <c r="G343" s="565"/>
      <c r="H343" s="565"/>
      <c r="I343" s="565"/>
    </row>
    <row r="344" spans="3:9">
      <c r="C344" s="573"/>
      <c r="D344" s="565"/>
      <c r="E344" s="573"/>
      <c r="F344" s="573"/>
      <c r="G344" s="565"/>
      <c r="H344" s="565"/>
      <c r="I344" s="565"/>
    </row>
    <row r="345" spans="3:9">
      <c r="C345" s="573"/>
      <c r="D345" s="565"/>
      <c r="E345" s="573"/>
      <c r="F345" s="573"/>
      <c r="G345" s="565"/>
      <c r="H345" s="565"/>
      <c r="I345" s="565"/>
    </row>
    <row r="346" spans="3:9">
      <c r="C346" s="573"/>
      <c r="D346" s="565"/>
      <c r="E346" s="573"/>
      <c r="F346" s="573"/>
      <c r="G346" s="565"/>
      <c r="H346" s="565"/>
      <c r="I346" s="565"/>
    </row>
    <row r="347" spans="3:9">
      <c r="C347" s="573"/>
      <c r="D347" s="565"/>
      <c r="E347" s="573"/>
      <c r="F347" s="573"/>
      <c r="G347" s="565"/>
      <c r="H347" s="565"/>
      <c r="I347" s="565"/>
    </row>
    <row r="348" spans="3:9">
      <c r="C348" s="573"/>
      <c r="D348" s="565"/>
      <c r="E348" s="573"/>
      <c r="F348" s="573"/>
      <c r="G348" s="565"/>
      <c r="H348" s="565"/>
      <c r="I348" s="565"/>
    </row>
    <row r="349" spans="3:9">
      <c r="C349" s="573"/>
      <c r="D349" s="565"/>
      <c r="E349" s="573"/>
      <c r="F349" s="573"/>
      <c r="G349" s="565"/>
      <c r="H349" s="565"/>
      <c r="I349" s="565"/>
    </row>
    <row r="350" spans="3:9">
      <c r="C350" s="573"/>
      <c r="D350" s="565"/>
      <c r="E350" s="573"/>
      <c r="F350" s="573"/>
      <c r="G350" s="565"/>
      <c r="H350" s="565"/>
      <c r="I350" s="565"/>
    </row>
    <row r="351" spans="3:9">
      <c r="C351" s="573"/>
      <c r="D351" s="565"/>
      <c r="E351" s="573"/>
      <c r="F351" s="573"/>
      <c r="G351" s="565"/>
      <c r="H351" s="565"/>
      <c r="I351" s="565"/>
    </row>
    <row r="352" spans="3:9">
      <c r="C352" s="573"/>
      <c r="D352" s="565"/>
      <c r="E352" s="573"/>
      <c r="F352" s="573"/>
      <c r="G352" s="565"/>
      <c r="H352" s="565"/>
      <c r="I352" s="565"/>
    </row>
    <row r="353" spans="3:9">
      <c r="C353" s="573"/>
      <c r="D353" s="565"/>
      <c r="E353" s="573"/>
      <c r="F353" s="573"/>
      <c r="G353" s="565"/>
      <c r="H353" s="565"/>
      <c r="I353" s="565"/>
    </row>
    <row r="354" spans="3:9">
      <c r="C354" s="573"/>
      <c r="D354" s="565"/>
      <c r="E354" s="573"/>
      <c r="F354" s="573"/>
      <c r="G354" s="565"/>
      <c r="H354" s="565"/>
      <c r="I354" s="565"/>
    </row>
    <row r="355" spans="3:9">
      <c r="C355" s="573"/>
      <c r="D355" s="565"/>
      <c r="E355" s="573"/>
      <c r="F355" s="573"/>
      <c r="G355" s="565"/>
      <c r="H355" s="565"/>
      <c r="I355" s="565"/>
    </row>
    <row r="356" spans="3:9">
      <c r="C356" s="573"/>
      <c r="D356" s="565"/>
      <c r="E356" s="573"/>
      <c r="F356" s="573"/>
      <c r="G356" s="565"/>
      <c r="H356" s="565"/>
      <c r="I356" s="565"/>
    </row>
    <row r="357" spans="3:9">
      <c r="C357" s="573"/>
      <c r="D357" s="565"/>
      <c r="E357" s="573"/>
      <c r="F357" s="573"/>
      <c r="G357" s="565"/>
      <c r="H357" s="565"/>
      <c r="I357" s="565"/>
    </row>
    <row r="358" spans="3:9">
      <c r="C358" s="573"/>
      <c r="D358" s="565"/>
      <c r="E358" s="573"/>
      <c r="F358" s="573"/>
      <c r="G358" s="565"/>
      <c r="H358" s="565"/>
      <c r="I358" s="565"/>
    </row>
    <row r="359" spans="3:9">
      <c r="C359" s="573"/>
      <c r="D359" s="565"/>
      <c r="E359" s="573"/>
      <c r="F359" s="573"/>
      <c r="G359" s="565"/>
      <c r="H359" s="565"/>
      <c r="I359" s="565"/>
    </row>
    <row r="360" spans="3:9">
      <c r="C360" s="573"/>
      <c r="D360" s="565"/>
      <c r="E360" s="573"/>
      <c r="F360" s="573"/>
      <c r="G360" s="565"/>
      <c r="H360" s="565"/>
      <c r="I360" s="565"/>
    </row>
    <row r="361" spans="3:9">
      <c r="C361" s="573"/>
      <c r="D361" s="565"/>
      <c r="E361" s="573"/>
      <c r="F361" s="573"/>
      <c r="G361" s="565"/>
      <c r="H361" s="565"/>
      <c r="I361" s="565"/>
    </row>
    <row r="362" spans="3:9">
      <c r="C362" s="573"/>
      <c r="D362" s="565"/>
      <c r="E362" s="573"/>
      <c r="F362" s="573"/>
      <c r="G362" s="565"/>
      <c r="H362" s="565"/>
      <c r="I362" s="565"/>
    </row>
    <row r="363" spans="3:9">
      <c r="C363" s="573"/>
      <c r="D363" s="565"/>
      <c r="E363" s="573"/>
      <c r="F363" s="573"/>
      <c r="G363" s="565"/>
      <c r="H363" s="565"/>
      <c r="I363" s="565"/>
    </row>
    <row r="364" spans="3:9">
      <c r="C364" s="573"/>
      <c r="D364" s="565"/>
      <c r="E364" s="573"/>
      <c r="F364" s="573"/>
      <c r="G364" s="565"/>
      <c r="H364" s="565"/>
      <c r="I364" s="565"/>
    </row>
    <row r="365" spans="3:9">
      <c r="C365" s="573"/>
      <c r="D365" s="565"/>
      <c r="E365" s="573"/>
      <c r="F365" s="573"/>
      <c r="G365" s="565"/>
      <c r="H365" s="565"/>
      <c r="I365" s="565"/>
    </row>
    <row r="366" spans="3:9">
      <c r="C366" s="573"/>
      <c r="D366" s="565"/>
      <c r="E366" s="573"/>
      <c r="F366" s="573"/>
      <c r="G366" s="565"/>
      <c r="H366" s="565"/>
      <c r="I366" s="565"/>
    </row>
    <row r="367" spans="3:9">
      <c r="C367" s="573"/>
      <c r="D367" s="565"/>
      <c r="E367" s="573"/>
      <c r="F367" s="573"/>
      <c r="G367" s="565"/>
      <c r="H367" s="565"/>
      <c r="I367" s="565"/>
    </row>
    <row r="368" spans="3:9">
      <c r="C368" s="573"/>
      <c r="D368" s="565"/>
      <c r="E368" s="573"/>
      <c r="F368" s="573"/>
      <c r="G368" s="565"/>
      <c r="H368" s="565"/>
      <c r="I368" s="565"/>
    </row>
    <row r="369" spans="3:9">
      <c r="C369" s="573"/>
      <c r="D369" s="565"/>
      <c r="E369" s="573"/>
      <c r="F369" s="573"/>
      <c r="G369" s="565"/>
      <c r="H369" s="565"/>
      <c r="I369" s="565"/>
    </row>
    <row r="370" spans="3:9">
      <c r="C370" s="573"/>
      <c r="D370" s="565"/>
      <c r="E370" s="573"/>
      <c r="F370" s="573"/>
      <c r="G370" s="565"/>
      <c r="H370" s="565"/>
      <c r="I370" s="565"/>
    </row>
    <row r="371" spans="3:9">
      <c r="C371" s="573"/>
      <c r="D371" s="565"/>
      <c r="E371" s="573"/>
      <c r="F371" s="573"/>
      <c r="G371" s="565"/>
      <c r="H371" s="565"/>
      <c r="I371" s="565"/>
    </row>
    <row r="372" spans="3:9">
      <c r="C372" s="573"/>
      <c r="D372" s="565"/>
      <c r="E372" s="573"/>
      <c r="F372" s="573"/>
      <c r="G372" s="565"/>
      <c r="H372" s="565"/>
      <c r="I372" s="565"/>
    </row>
    <row r="373" spans="3:9">
      <c r="C373" s="573"/>
      <c r="D373" s="565"/>
      <c r="E373" s="573"/>
      <c r="F373" s="573"/>
      <c r="G373" s="565"/>
      <c r="H373" s="565"/>
      <c r="I373" s="565"/>
    </row>
    <row r="374" spans="3:9">
      <c r="C374" s="573"/>
      <c r="D374" s="565"/>
      <c r="E374" s="573"/>
      <c r="F374" s="573"/>
      <c r="G374" s="565"/>
      <c r="H374" s="565"/>
      <c r="I374" s="565"/>
    </row>
    <row r="375" spans="3:9">
      <c r="C375" s="573"/>
      <c r="D375" s="565"/>
      <c r="E375" s="573"/>
      <c r="F375" s="573"/>
      <c r="G375" s="565"/>
      <c r="H375" s="565"/>
      <c r="I375" s="565"/>
    </row>
    <row r="376" spans="3:9">
      <c r="C376" s="573"/>
      <c r="D376" s="565"/>
      <c r="E376" s="573"/>
      <c r="F376" s="573"/>
      <c r="G376" s="565"/>
      <c r="H376" s="565"/>
      <c r="I376" s="565"/>
    </row>
    <row r="377" spans="3:9">
      <c r="C377" s="573"/>
      <c r="D377" s="565"/>
      <c r="E377" s="573"/>
      <c r="F377" s="573"/>
      <c r="G377" s="565"/>
      <c r="H377" s="565"/>
      <c r="I377" s="565"/>
    </row>
    <row r="378" spans="3:9">
      <c r="C378" s="573"/>
      <c r="D378" s="565"/>
      <c r="E378" s="573"/>
      <c r="F378" s="573"/>
      <c r="G378" s="565"/>
      <c r="H378" s="565"/>
      <c r="I378" s="565"/>
    </row>
    <row r="379" spans="3:9">
      <c r="C379" s="573"/>
      <c r="D379" s="565"/>
      <c r="E379" s="573"/>
      <c r="F379" s="573"/>
      <c r="G379" s="565"/>
      <c r="H379" s="565"/>
      <c r="I379" s="565"/>
    </row>
    <row r="380" spans="3:9">
      <c r="C380" s="573"/>
      <c r="D380" s="565"/>
      <c r="E380" s="573"/>
      <c r="F380" s="573"/>
      <c r="G380" s="565"/>
      <c r="H380" s="565"/>
      <c r="I380" s="565"/>
    </row>
    <row r="381" spans="3:9">
      <c r="C381" s="573"/>
      <c r="D381" s="565"/>
      <c r="E381" s="573"/>
      <c r="F381" s="573"/>
      <c r="G381" s="565"/>
      <c r="H381" s="565"/>
      <c r="I381" s="565"/>
    </row>
    <row r="382" spans="3:9">
      <c r="C382" s="573"/>
      <c r="D382" s="565"/>
      <c r="E382" s="573"/>
      <c r="F382" s="573"/>
      <c r="G382" s="565"/>
      <c r="H382" s="565"/>
      <c r="I382" s="565"/>
    </row>
    <row r="383" spans="3:9">
      <c r="C383" s="573"/>
      <c r="D383" s="565"/>
      <c r="E383" s="573"/>
      <c r="F383" s="573"/>
      <c r="G383" s="565"/>
      <c r="H383" s="565"/>
      <c r="I383" s="565"/>
    </row>
    <row r="384" spans="3:9">
      <c r="C384" s="573"/>
      <c r="D384" s="565"/>
      <c r="E384" s="573"/>
      <c r="F384" s="573"/>
      <c r="G384" s="565"/>
      <c r="H384" s="565"/>
      <c r="I384" s="565"/>
    </row>
    <row r="385" spans="3:9">
      <c r="C385" s="573"/>
      <c r="D385" s="565"/>
      <c r="E385" s="573"/>
      <c r="F385" s="573"/>
      <c r="G385" s="565"/>
      <c r="H385" s="565"/>
      <c r="I385" s="565"/>
    </row>
    <row r="386" spans="3:9">
      <c r="C386" s="573"/>
      <c r="D386" s="565"/>
      <c r="E386" s="573"/>
      <c r="F386" s="573"/>
      <c r="G386" s="565"/>
      <c r="H386" s="565"/>
      <c r="I386" s="565"/>
    </row>
    <row r="387" spans="3:9">
      <c r="C387" s="573"/>
      <c r="D387" s="565"/>
      <c r="E387" s="573"/>
      <c r="F387" s="573"/>
      <c r="G387" s="565"/>
      <c r="H387" s="565"/>
      <c r="I387" s="565"/>
    </row>
    <row r="388" spans="3:9">
      <c r="C388" s="573"/>
      <c r="D388" s="565"/>
      <c r="E388" s="573"/>
      <c r="F388" s="573"/>
      <c r="G388" s="565"/>
      <c r="H388" s="565"/>
      <c r="I388" s="565"/>
    </row>
    <row r="389" spans="3:9">
      <c r="C389" s="573"/>
      <c r="D389" s="565"/>
      <c r="E389" s="573"/>
      <c r="F389" s="573"/>
      <c r="G389" s="565"/>
      <c r="H389" s="565"/>
      <c r="I389" s="565"/>
    </row>
    <row r="390" spans="3:9">
      <c r="C390" s="573"/>
      <c r="D390" s="565"/>
      <c r="E390" s="573"/>
      <c r="F390" s="573"/>
      <c r="G390" s="565"/>
      <c r="H390" s="565"/>
      <c r="I390" s="565"/>
    </row>
    <row r="391" spans="3:9">
      <c r="C391" s="573"/>
      <c r="D391" s="565"/>
      <c r="E391" s="573"/>
      <c r="F391" s="573"/>
      <c r="G391" s="565"/>
      <c r="H391" s="565"/>
      <c r="I391" s="565"/>
    </row>
    <row r="392" spans="3:9">
      <c r="C392" s="573"/>
      <c r="D392" s="565"/>
      <c r="E392" s="573"/>
      <c r="F392" s="573"/>
      <c r="G392" s="565"/>
      <c r="H392" s="565"/>
      <c r="I392" s="565"/>
    </row>
    <row r="393" spans="3:9">
      <c r="C393" s="573"/>
      <c r="D393" s="565"/>
      <c r="E393" s="573"/>
      <c r="F393" s="573"/>
      <c r="G393" s="565"/>
      <c r="H393" s="565"/>
      <c r="I393" s="565"/>
    </row>
    <row r="394" spans="3:9">
      <c r="C394" s="573"/>
      <c r="D394" s="565"/>
      <c r="E394" s="573"/>
      <c r="F394" s="573"/>
      <c r="G394" s="565"/>
      <c r="H394" s="565"/>
      <c r="I394" s="565"/>
    </row>
    <row r="395" spans="3:9">
      <c r="C395" s="573"/>
      <c r="D395" s="565"/>
      <c r="E395" s="573"/>
      <c r="F395" s="573"/>
      <c r="G395" s="565"/>
      <c r="H395" s="565"/>
      <c r="I395" s="565"/>
    </row>
    <row r="396" spans="3:9">
      <c r="C396" s="573"/>
      <c r="D396" s="565"/>
      <c r="E396" s="573"/>
      <c r="F396" s="573"/>
      <c r="G396" s="565"/>
      <c r="H396" s="565"/>
      <c r="I396" s="565"/>
    </row>
    <row r="397" spans="3:9">
      <c r="C397" s="573"/>
      <c r="D397" s="565"/>
      <c r="E397" s="573"/>
      <c r="F397" s="573"/>
      <c r="G397" s="565"/>
      <c r="H397" s="565"/>
      <c r="I397" s="565"/>
    </row>
    <row r="398" spans="3:9">
      <c r="C398" s="573"/>
      <c r="D398" s="565"/>
      <c r="E398" s="573"/>
      <c r="F398" s="573"/>
      <c r="G398" s="565"/>
      <c r="H398" s="565"/>
      <c r="I398" s="565"/>
    </row>
    <row r="399" spans="3:9">
      <c r="C399" s="573"/>
      <c r="D399" s="565"/>
      <c r="E399" s="573"/>
      <c r="F399" s="573"/>
      <c r="G399" s="565"/>
      <c r="H399" s="565"/>
      <c r="I399" s="565"/>
    </row>
    <row r="400" spans="3:9">
      <c r="C400" s="573"/>
      <c r="D400" s="565"/>
      <c r="E400" s="573"/>
      <c r="F400" s="573"/>
      <c r="G400" s="565"/>
      <c r="H400" s="565"/>
      <c r="I400" s="565"/>
    </row>
    <row r="401" spans="3:9">
      <c r="C401" s="573"/>
      <c r="D401" s="565"/>
      <c r="E401" s="573"/>
      <c r="F401" s="573"/>
      <c r="G401" s="565"/>
      <c r="H401" s="565"/>
      <c r="I401" s="565"/>
    </row>
    <row r="402" spans="3:9">
      <c r="C402" s="573"/>
      <c r="D402" s="565"/>
      <c r="E402" s="573"/>
      <c r="F402" s="573"/>
      <c r="G402" s="565"/>
      <c r="H402" s="565"/>
      <c r="I402" s="565"/>
    </row>
    <row r="403" spans="3:9">
      <c r="C403" s="573"/>
      <c r="D403" s="565"/>
      <c r="E403" s="573"/>
      <c r="F403" s="573"/>
      <c r="G403" s="565"/>
      <c r="H403" s="565"/>
      <c r="I403" s="565"/>
    </row>
    <row r="404" spans="3:9">
      <c r="C404" s="573"/>
      <c r="D404" s="565"/>
      <c r="E404" s="573"/>
      <c r="F404" s="573"/>
      <c r="G404" s="565"/>
      <c r="H404" s="565"/>
      <c r="I404" s="565"/>
    </row>
    <row r="405" spans="3:9">
      <c r="C405" s="573"/>
      <c r="D405" s="565"/>
      <c r="E405" s="573"/>
      <c r="F405" s="573"/>
      <c r="G405" s="565"/>
      <c r="H405" s="565"/>
      <c r="I405" s="565"/>
    </row>
    <row r="406" spans="3:9">
      <c r="C406" s="573"/>
      <c r="D406" s="565"/>
      <c r="E406" s="573"/>
      <c r="F406" s="573"/>
      <c r="G406" s="565"/>
      <c r="H406" s="565"/>
      <c r="I406" s="565"/>
    </row>
    <row r="407" spans="3:9">
      <c r="C407" s="573"/>
      <c r="D407" s="565"/>
      <c r="E407" s="573"/>
      <c r="F407" s="573"/>
      <c r="G407" s="565"/>
      <c r="H407" s="565"/>
      <c r="I407" s="565"/>
    </row>
    <row r="408" spans="3:9">
      <c r="C408" s="573"/>
      <c r="D408" s="565"/>
      <c r="E408" s="573"/>
      <c r="F408" s="573"/>
      <c r="G408" s="565"/>
      <c r="H408" s="565"/>
      <c r="I408" s="565"/>
    </row>
    <row r="409" spans="3:9">
      <c r="C409" s="573"/>
      <c r="D409" s="565"/>
      <c r="E409" s="573"/>
      <c r="F409" s="573"/>
      <c r="G409" s="565"/>
      <c r="H409" s="565"/>
      <c r="I409" s="565"/>
    </row>
    <row r="410" spans="3:9">
      <c r="C410" s="573"/>
      <c r="D410" s="565"/>
      <c r="E410" s="573"/>
      <c r="F410" s="573"/>
      <c r="G410" s="565"/>
      <c r="H410" s="565"/>
      <c r="I410" s="565"/>
    </row>
    <row r="411" spans="3:9">
      <c r="C411" s="573"/>
      <c r="D411" s="565"/>
      <c r="E411" s="573"/>
      <c r="F411" s="573"/>
      <c r="G411" s="565"/>
      <c r="H411" s="565"/>
      <c r="I411" s="565"/>
    </row>
    <row r="412" spans="3:9">
      <c r="C412" s="573"/>
      <c r="D412" s="565"/>
      <c r="E412" s="573"/>
      <c r="F412" s="573"/>
      <c r="G412" s="565"/>
      <c r="H412" s="565"/>
      <c r="I412" s="565"/>
    </row>
    <row r="413" spans="3:9">
      <c r="C413" s="573"/>
      <c r="D413" s="565"/>
      <c r="E413" s="573"/>
      <c r="F413" s="573"/>
      <c r="G413" s="565"/>
      <c r="H413" s="565"/>
      <c r="I413" s="565"/>
    </row>
    <row r="414" spans="3:9">
      <c r="C414" s="573"/>
      <c r="D414" s="565"/>
      <c r="E414" s="573"/>
      <c r="F414" s="573"/>
      <c r="G414" s="565"/>
      <c r="H414" s="565"/>
      <c r="I414" s="565"/>
    </row>
    <row r="415" spans="3:9">
      <c r="C415" s="573"/>
      <c r="D415" s="565"/>
      <c r="E415" s="573"/>
      <c r="F415" s="573"/>
      <c r="G415" s="565"/>
      <c r="H415" s="565"/>
      <c r="I415" s="565"/>
    </row>
    <row r="416" spans="3:9">
      <c r="C416" s="573"/>
      <c r="D416" s="565"/>
      <c r="E416" s="573"/>
      <c r="F416" s="573"/>
      <c r="G416" s="565"/>
      <c r="H416" s="565"/>
      <c r="I416" s="565"/>
    </row>
    <row r="417" spans="3:9">
      <c r="C417" s="573"/>
      <c r="D417" s="565"/>
      <c r="E417" s="573"/>
      <c r="F417" s="573"/>
      <c r="G417" s="565"/>
      <c r="H417" s="565"/>
      <c r="I417" s="565"/>
    </row>
    <row r="418" spans="3:9">
      <c r="C418" s="573"/>
      <c r="D418" s="565"/>
      <c r="E418" s="573"/>
      <c r="F418" s="573"/>
      <c r="G418" s="565"/>
      <c r="H418" s="565"/>
      <c r="I418" s="565"/>
    </row>
    <row r="419" spans="3:9">
      <c r="C419" s="573"/>
      <c r="D419" s="565"/>
      <c r="E419" s="573"/>
      <c r="F419" s="573"/>
      <c r="G419" s="565"/>
      <c r="H419" s="565"/>
      <c r="I419" s="565"/>
    </row>
    <row r="420" spans="3:9">
      <c r="C420" s="573"/>
      <c r="D420" s="565"/>
      <c r="E420" s="573"/>
      <c r="F420" s="573"/>
      <c r="G420" s="565"/>
      <c r="H420" s="565"/>
      <c r="I420" s="565"/>
    </row>
    <row r="421" spans="3:9">
      <c r="C421" s="573"/>
      <c r="D421" s="565"/>
      <c r="E421" s="573"/>
      <c r="F421" s="573"/>
      <c r="G421" s="565"/>
      <c r="H421" s="565"/>
      <c r="I421" s="565"/>
    </row>
    <row r="422" spans="3:9">
      <c r="C422" s="573"/>
      <c r="D422" s="565"/>
      <c r="E422" s="573"/>
      <c r="F422" s="573"/>
      <c r="G422" s="565"/>
      <c r="H422" s="565"/>
      <c r="I422" s="565"/>
    </row>
    <row r="423" spans="3:9">
      <c r="C423" s="573"/>
      <c r="D423" s="565"/>
      <c r="E423" s="573"/>
      <c r="F423" s="573"/>
      <c r="G423" s="565"/>
      <c r="H423" s="565"/>
      <c r="I423" s="565"/>
    </row>
    <row r="424" spans="3:9">
      <c r="C424" s="573"/>
      <c r="D424" s="565"/>
      <c r="E424" s="573"/>
      <c r="F424" s="573"/>
      <c r="G424" s="565"/>
      <c r="H424" s="565"/>
      <c r="I424" s="565"/>
    </row>
    <row r="425" spans="3:9">
      <c r="C425" s="573"/>
      <c r="D425" s="565"/>
      <c r="E425" s="573"/>
      <c r="F425" s="573"/>
      <c r="G425" s="565"/>
      <c r="H425" s="565"/>
      <c r="I425" s="565"/>
    </row>
    <row r="426" spans="3:9">
      <c r="C426" s="573"/>
      <c r="D426" s="565"/>
      <c r="E426" s="573"/>
      <c r="F426" s="573"/>
      <c r="G426" s="565"/>
      <c r="H426" s="565"/>
      <c r="I426" s="565"/>
    </row>
    <row r="427" spans="3:9">
      <c r="C427" s="573"/>
      <c r="D427" s="565"/>
      <c r="E427" s="573"/>
      <c r="F427" s="573"/>
      <c r="G427" s="565"/>
      <c r="H427" s="565"/>
      <c r="I427" s="565"/>
    </row>
    <row r="428" spans="3:9">
      <c r="C428" s="573"/>
      <c r="D428" s="565"/>
      <c r="E428" s="573"/>
      <c r="F428" s="573"/>
      <c r="G428" s="565"/>
      <c r="H428" s="565"/>
      <c r="I428" s="565"/>
    </row>
    <row r="429" spans="3:9">
      <c r="C429" s="573"/>
      <c r="D429" s="565"/>
      <c r="E429" s="573"/>
      <c r="F429" s="573"/>
      <c r="G429" s="565"/>
      <c r="H429" s="565"/>
      <c r="I429" s="565"/>
    </row>
    <row r="430" spans="3:9">
      <c r="C430" s="573"/>
      <c r="D430" s="565"/>
      <c r="E430" s="573"/>
      <c r="F430" s="573"/>
      <c r="G430" s="565"/>
      <c r="H430" s="565"/>
      <c r="I430" s="565"/>
    </row>
    <row r="431" spans="3:9">
      <c r="C431" s="573"/>
      <c r="D431" s="565"/>
      <c r="E431" s="573"/>
      <c r="F431" s="573"/>
      <c r="G431" s="565"/>
      <c r="H431" s="565"/>
      <c r="I431" s="565"/>
    </row>
    <row r="432" spans="3:9">
      <c r="C432" s="573"/>
      <c r="D432" s="565"/>
      <c r="E432" s="573"/>
      <c r="F432" s="573"/>
      <c r="G432" s="565"/>
      <c r="H432" s="565"/>
      <c r="I432" s="565"/>
    </row>
    <row r="433" spans="3:9">
      <c r="C433" s="573"/>
      <c r="D433" s="565"/>
      <c r="E433" s="573"/>
      <c r="F433" s="573"/>
      <c r="G433" s="565"/>
      <c r="H433" s="565"/>
      <c r="I433" s="565"/>
    </row>
    <row r="434" spans="3:9">
      <c r="C434" s="573"/>
      <c r="D434" s="565"/>
      <c r="E434" s="573"/>
      <c r="F434" s="573"/>
      <c r="G434" s="565"/>
      <c r="H434" s="565"/>
      <c r="I434" s="565"/>
    </row>
    <row r="435" spans="3:9">
      <c r="C435" s="573"/>
      <c r="D435" s="565"/>
      <c r="E435" s="573"/>
      <c r="F435" s="573"/>
      <c r="G435" s="565"/>
      <c r="H435" s="565"/>
      <c r="I435" s="565"/>
    </row>
    <row r="436" spans="3:9">
      <c r="C436" s="573"/>
      <c r="D436" s="565"/>
      <c r="E436" s="573"/>
      <c r="F436" s="573"/>
      <c r="G436" s="565"/>
      <c r="H436" s="565"/>
      <c r="I436" s="565"/>
    </row>
    <row r="437" spans="3:9">
      <c r="C437" s="573"/>
      <c r="D437" s="565"/>
      <c r="E437" s="573"/>
      <c r="F437" s="573"/>
      <c r="G437" s="565"/>
      <c r="H437" s="565"/>
      <c r="I437" s="565"/>
    </row>
    <row r="438" spans="3:9">
      <c r="C438" s="573"/>
      <c r="D438" s="565"/>
      <c r="E438" s="573"/>
      <c r="F438" s="573"/>
      <c r="G438" s="565"/>
      <c r="H438" s="565"/>
      <c r="I438" s="565"/>
    </row>
    <row r="439" spans="3:9">
      <c r="C439" s="573"/>
      <c r="D439" s="565"/>
      <c r="E439" s="573"/>
      <c r="F439" s="573"/>
      <c r="G439" s="565"/>
      <c r="H439" s="565"/>
      <c r="I439" s="565"/>
    </row>
    <row r="440" spans="3:9">
      <c r="C440" s="573"/>
      <c r="D440" s="565"/>
      <c r="E440" s="573"/>
      <c r="F440" s="573"/>
      <c r="G440" s="565"/>
      <c r="H440" s="565"/>
      <c r="I440" s="565"/>
    </row>
    <row r="441" spans="3:9">
      <c r="C441" s="573"/>
      <c r="D441" s="565"/>
      <c r="E441" s="573"/>
      <c r="F441" s="573"/>
      <c r="G441" s="565"/>
      <c r="H441" s="565"/>
      <c r="I441" s="565"/>
    </row>
    <row r="442" spans="3:9">
      <c r="C442" s="573"/>
      <c r="D442" s="565"/>
      <c r="E442" s="573"/>
      <c r="F442" s="573"/>
      <c r="G442" s="565"/>
      <c r="H442" s="565"/>
      <c r="I442" s="565"/>
    </row>
    <row r="443" spans="3:9">
      <c r="C443" s="573"/>
      <c r="D443" s="565"/>
      <c r="E443" s="573"/>
      <c r="F443" s="573"/>
      <c r="G443" s="565"/>
      <c r="H443" s="565"/>
      <c r="I443" s="565"/>
    </row>
    <row r="444" spans="3:9">
      <c r="C444" s="573"/>
      <c r="D444" s="565"/>
      <c r="E444" s="573"/>
      <c r="F444" s="573"/>
      <c r="G444" s="565"/>
      <c r="H444" s="565"/>
      <c r="I444" s="565"/>
    </row>
    <row r="445" spans="3:9">
      <c r="C445" s="573"/>
      <c r="D445" s="565"/>
      <c r="E445" s="573"/>
      <c r="F445" s="573"/>
      <c r="G445" s="565"/>
      <c r="H445" s="565"/>
      <c r="I445" s="565"/>
    </row>
    <row r="446" spans="3:9">
      <c r="C446" s="573"/>
      <c r="D446" s="565"/>
      <c r="E446" s="573"/>
      <c r="F446" s="573"/>
      <c r="G446" s="565"/>
      <c r="H446" s="565"/>
      <c r="I446" s="565"/>
    </row>
    <row r="447" spans="3:9">
      <c r="C447" s="573"/>
      <c r="D447" s="565"/>
      <c r="E447" s="573"/>
      <c r="F447" s="573"/>
      <c r="G447" s="565"/>
      <c r="H447" s="565"/>
      <c r="I447" s="565"/>
    </row>
    <row r="448" spans="3:9">
      <c r="C448" s="573"/>
      <c r="D448" s="565"/>
      <c r="E448" s="573"/>
      <c r="F448" s="573"/>
      <c r="G448" s="565"/>
      <c r="H448" s="565"/>
      <c r="I448" s="565"/>
    </row>
    <row r="449" spans="3:9">
      <c r="C449" s="573"/>
      <c r="D449" s="565"/>
      <c r="E449" s="573"/>
      <c r="F449" s="573"/>
      <c r="G449" s="565"/>
      <c r="H449" s="565"/>
      <c r="I449" s="565"/>
    </row>
    <row r="450" spans="3:9">
      <c r="C450" s="573"/>
      <c r="D450" s="565"/>
      <c r="E450" s="573"/>
      <c r="F450" s="573"/>
      <c r="G450" s="565"/>
      <c r="H450" s="565"/>
      <c r="I450" s="565"/>
    </row>
    <row r="451" spans="3:9">
      <c r="C451" s="573"/>
      <c r="D451" s="565"/>
      <c r="E451" s="573"/>
      <c r="F451" s="573"/>
      <c r="G451" s="565"/>
      <c r="H451" s="565"/>
      <c r="I451" s="565"/>
    </row>
    <row r="452" spans="3:9">
      <c r="C452" s="573"/>
      <c r="D452" s="565"/>
      <c r="E452" s="573"/>
      <c r="F452" s="573"/>
      <c r="G452" s="565"/>
      <c r="H452" s="565"/>
      <c r="I452" s="565"/>
    </row>
    <row r="453" spans="3:9">
      <c r="C453" s="573"/>
      <c r="D453" s="565"/>
      <c r="E453" s="573"/>
      <c r="F453" s="573"/>
      <c r="G453" s="565"/>
      <c r="H453" s="565"/>
      <c r="I453" s="565"/>
    </row>
    <row r="454" spans="3:9">
      <c r="C454" s="573"/>
      <c r="D454" s="565"/>
      <c r="E454" s="573"/>
      <c r="F454" s="573"/>
      <c r="G454" s="565"/>
      <c r="H454" s="565"/>
      <c r="I454" s="565"/>
    </row>
    <row r="455" spans="3:9">
      <c r="C455" s="573"/>
      <c r="D455" s="565"/>
      <c r="E455" s="573"/>
      <c r="F455" s="573"/>
      <c r="G455" s="565"/>
      <c r="H455" s="565"/>
      <c r="I455" s="565"/>
    </row>
    <row r="456" spans="3:9">
      <c r="C456" s="573"/>
      <c r="D456" s="565"/>
      <c r="E456" s="573"/>
      <c r="F456" s="573"/>
      <c r="G456" s="565"/>
      <c r="H456" s="565"/>
      <c r="I456" s="565"/>
    </row>
    <row r="457" spans="3:9">
      <c r="C457" s="573"/>
      <c r="D457" s="565"/>
      <c r="E457" s="573"/>
      <c r="F457" s="573"/>
      <c r="G457" s="565"/>
      <c r="H457" s="565"/>
      <c r="I457" s="565"/>
    </row>
    <row r="458" spans="3:9">
      <c r="C458" s="573"/>
      <c r="D458" s="565"/>
      <c r="E458" s="573"/>
      <c r="F458" s="573"/>
      <c r="G458" s="565"/>
      <c r="H458" s="565"/>
      <c r="I458" s="565"/>
    </row>
    <row r="459" spans="3:9">
      <c r="C459" s="573"/>
      <c r="D459" s="565"/>
      <c r="E459" s="573"/>
      <c r="F459" s="573"/>
      <c r="G459" s="565"/>
      <c r="H459" s="565"/>
      <c r="I459" s="565"/>
    </row>
    <row r="460" spans="3:9">
      <c r="C460" s="573"/>
      <c r="D460" s="565"/>
      <c r="E460" s="573"/>
      <c r="F460" s="573"/>
      <c r="G460" s="565"/>
      <c r="H460" s="565"/>
      <c r="I460" s="565"/>
    </row>
    <row r="461" spans="3:9">
      <c r="C461" s="573"/>
      <c r="D461" s="565"/>
      <c r="E461" s="573"/>
      <c r="F461" s="573"/>
      <c r="G461" s="565"/>
      <c r="H461" s="565"/>
      <c r="I461" s="565"/>
    </row>
    <row r="462" spans="3:9">
      <c r="C462" s="573"/>
      <c r="D462" s="565"/>
      <c r="E462" s="573"/>
      <c r="F462" s="573"/>
      <c r="G462" s="565"/>
      <c r="H462" s="565"/>
      <c r="I462" s="565"/>
    </row>
    <row r="463" spans="3:9">
      <c r="C463" s="573"/>
      <c r="D463" s="565"/>
      <c r="E463" s="573"/>
      <c r="F463" s="573"/>
      <c r="G463" s="565"/>
      <c r="H463" s="565"/>
      <c r="I463" s="565"/>
    </row>
    <row r="464" spans="3:9">
      <c r="C464" s="573"/>
      <c r="D464" s="565"/>
      <c r="E464" s="573"/>
      <c r="F464" s="573"/>
      <c r="G464" s="565"/>
      <c r="H464" s="565"/>
      <c r="I464" s="565"/>
    </row>
    <row r="465" spans="3:9">
      <c r="C465" s="573"/>
      <c r="D465" s="565"/>
      <c r="E465" s="573"/>
      <c r="F465" s="573"/>
      <c r="G465" s="565"/>
      <c r="H465" s="565"/>
      <c r="I465" s="565"/>
    </row>
    <row r="466" spans="3:9">
      <c r="C466" s="573"/>
      <c r="D466" s="565"/>
      <c r="E466" s="573"/>
      <c r="F466" s="573"/>
      <c r="G466" s="565"/>
      <c r="H466" s="565"/>
      <c r="I466" s="565"/>
    </row>
    <row r="467" spans="3:9">
      <c r="C467" s="573"/>
      <c r="D467" s="565"/>
      <c r="E467" s="573"/>
      <c r="F467" s="573"/>
      <c r="G467" s="565"/>
      <c r="H467" s="565"/>
      <c r="I467" s="565"/>
    </row>
    <row r="468" spans="3:9">
      <c r="C468" s="573"/>
      <c r="D468" s="565"/>
      <c r="E468" s="573"/>
      <c r="F468" s="573"/>
      <c r="G468" s="565"/>
      <c r="H468" s="565"/>
      <c r="I468" s="565"/>
    </row>
    <row r="469" spans="3:9">
      <c r="C469" s="573"/>
      <c r="D469" s="565"/>
      <c r="E469" s="573"/>
      <c r="F469" s="573"/>
      <c r="G469" s="565"/>
      <c r="H469" s="565"/>
      <c r="I469" s="565"/>
    </row>
    <row r="470" spans="3:9">
      <c r="C470" s="573"/>
      <c r="D470" s="565"/>
      <c r="E470" s="573"/>
      <c r="F470" s="573"/>
      <c r="G470" s="565"/>
      <c r="H470" s="565"/>
      <c r="I470" s="565"/>
    </row>
    <row r="471" spans="3:9">
      <c r="C471" s="573"/>
      <c r="D471" s="565"/>
      <c r="E471" s="573"/>
      <c r="F471" s="573"/>
      <c r="G471" s="565"/>
      <c r="H471" s="565"/>
      <c r="I471" s="565"/>
    </row>
    <row r="472" spans="3:9">
      <c r="C472" s="573"/>
      <c r="D472" s="565"/>
      <c r="E472" s="573"/>
      <c r="F472" s="573"/>
      <c r="G472" s="565"/>
      <c r="H472" s="565"/>
      <c r="I472" s="565"/>
    </row>
    <row r="473" spans="3:9">
      <c r="C473" s="573"/>
      <c r="D473" s="565"/>
      <c r="E473" s="573"/>
      <c r="F473" s="573"/>
      <c r="G473" s="565"/>
      <c r="H473" s="565"/>
      <c r="I473" s="565"/>
    </row>
    <row r="474" spans="3:9">
      <c r="C474" s="573"/>
      <c r="D474" s="565"/>
      <c r="E474" s="573"/>
      <c r="F474" s="573"/>
      <c r="G474" s="565"/>
      <c r="H474" s="565"/>
      <c r="I474" s="565"/>
    </row>
    <row r="475" spans="3:9">
      <c r="C475" s="573"/>
      <c r="D475" s="565"/>
      <c r="E475" s="573"/>
      <c r="F475" s="573"/>
      <c r="G475" s="565"/>
      <c r="H475" s="565"/>
      <c r="I475" s="565"/>
    </row>
    <row r="476" spans="3:9">
      <c r="C476" s="573"/>
      <c r="D476" s="565"/>
      <c r="E476" s="573"/>
      <c r="F476" s="573"/>
      <c r="G476" s="565"/>
      <c r="H476" s="565"/>
      <c r="I476" s="565"/>
    </row>
    <row r="477" spans="3:9">
      <c r="C477" s="573"/>
      <c r="D477" s="565"/>
      <c r="E477" s="573"/>
      <c r="F477" s="573"/>
      <c r="G477" s="565"/>
      <c r="H477" s="565"/>
      <c r="I477" s="565"/>
    </row>
    <row r="478" spans="3:9">
      <c r="C478" s="573"/>
      <c r="D478" s="565"/>
      <c r="E478" s="573"/>
      <c r="F478" s="573"/>
      <c r="G478" s="565"/>
      <c r="H478" s="565"/>
      <c r="I478" s="565"/>
    </row>
    <row r="479" spans="3:9">
      <c r="C479" s="573"/>
      <c r="D479" s="565"/>
      <c r="E479" s="573"/>
      <c r="F479" s="573"/>
      <c r="G479" s="565"/>
      <c r="H479" s="565"/>
      <c r="I479" s="565"/>
    </row>
    <row r="480" spans="3:9">
      <c r="C480" s="573"/>
      <c r="D480" s="565"/>
      <c r="E480" s="573"/>
      <c r="F480" s="573"/>
      <c r="G480" s="565"/>
      <c r="H480" s="565"/>
      <c r="I480" s="565"/>
    </row>
    <row r="481" spans="3:9">
      <c r="C481" s="573"/>
      <c r="D481" s="565"/>
      <c r="E481" s="573"/>
      <c r="F481" s="573"/>
      <c r="G481" s="565"/>
      <c r="H481" s="565"/>
      <c r="I481" s="565"/>
    </row>
    <row r="482" spans="3:9">
      <c r="C482" s="573"/>
      <c r="D482" s="565"/>
      <c r="E482" s="573"/>
      <c r="F482" s="573"/>
      <c r="G482" s="565"/>
      <c r="H482" s="565"/>
      <c r="I482" s="565"/>
    </row>
    <row r="483" spans="3:9">
      <c r="C483" s="573"/>
      <c r="D483" s="565"/>
      <c r="E483" s="573"/>
      <c r="F483" s="573"/>
      <c r="G483" s="565"/>
      <c r="H483" s="565"/>
      <c r="I483" s="565"/>
    </row>
    <row r="484" spans="3:9">
      <c r="C484" s="573"/>
      <c r="D484" s="565"/>
      <c r="E484" s="573"/>
      <c r="F484" s="573"/>
      <c r="G484" s="565"/>
      <c r="H484" s="565"/>
      <c r="I484" s="565"/>
    </row>
    <row r="485" spans="3:9">
      <c r="C485" s="573"/>
      <c r="D485" s="565"/>
      <c r="E485" s="573"/>
      <c r="F485" s="573"/>
      <c r="G485" s="565"/>
      <c r="H485" s="565"/>
      <c r="I485" s="565"/>
    </row>
    <row r="486" spans="3:9">
      <c r="C486" s="573"/>
      <c r="D486" s="565"/>
      <c r="E486" s="573"/>
      <c r="F486" s="573"/>
      <c r="G486" s="565"/>
      <c r="H486" s="565"/>
      <c r="I486" s="565"/>
    </row>
    <row r="487" spans="3:9">
      <c r="C487" s="573"/>
      <c r="D487" s="565"/>
      <c r="E487" s="573"/>
      <c r="F487" s="573"/>
      <c r="G487" s="565"/>
      <c r="H487" s="565"/>
      <c r="I487" s="565"/>
    </row>
    <row r="488" spans="3:9">
      <c r="C488" s="573"/>
      <c r="D488" s="565"/>
      <c r="E488" s="573"/>
      <c r="F488" s="573"/>
      <c r="G488" s="565"/>
      <c r="H488" s="565"/>
      <c r="I488" s="565"/>
    </row>
    <row r="489" spans="3:9">
      <c r="C489" s="573"/>
      <c r="D489" s="565"/>
      <c r="E489" s="573"/>
      <c r="F489" s="573"/>
      <c r="G489" s="565"/>
      <c r="H489" s="565"/>
      <c r="I489" s="565"/>
    </row>
    <row r="490" spans="3:9">
      <c r="C490" s="573"/>
      <c r="D490" s="565"/>
      <c r="E490" s="573"/>
      <c r="F490" s="573"/>
      <c r="G490" s="565"/>
      <c r="H490" s="565"/>
      <c r="I490" s="565"/>
    </row>
    <row r="491" spans="3:9">
      <c r="C491" s="573"/>
      <c r="D491" s="565"/>
      <c r="E491" s="573"/>
      <c r="F491" s="573"/>
      <c r="G491" s="565"/>
      <c r="H491" s="565"/>
      <c r="I491" s="565"/>
    </row>
    <row r="492" spans="3:9">
      <c r="C492" s="573"/>
      <c r="D492" s="565"/>
      <c r="E492" s="573"/>
      <c r="F492" s="573"/>
      <c r="G492" s="565"/>
      <c r="H492" s="565"/>
      <c r="I492" s="565"/>
    </row>
    <row r="493" spans="3:9">
      <c r="C493" s="573"/>
      <c r="D493" s="565"/>
      <c r="E493" s="573"/>
      <c r="F493" s="573"/>
      <c r="G493" s="565"/>
      <c r="H493" s="565"/>
      <c r="I493" s="565"/>
    </row>
    <row r="494" spans="3:9">
      <c r="C494" s="573"/>
      <c r="D494" s="565"/>
      <c r="E494" s="573"/>
      <c r="F494" s="573"/>
      <c r="G494" s="565"/>
      <c r="H494" s="565"/>
      <c r="I494" s="565"/>
    </row>
    <row r="495" spans="3:9">
      <c r="C495" s="573"/>
      <c r="D495" s="565"/>
      <c r="E495" s="573"/>
      <c r="F495" s="573"/>
      <c r="G495" s="565"/>
      <c r="H495" s="565"/>
      <c r="I495" s="565"/>
    </row>
    <row r="496" spans="3:9">
      <c r="C496" s="573"/>
      <c r="D496" s="565"/>
      <c r="E496" s="573"/>
      <c r="F496" s="573"/>
      <c r="G496" s="565"/>
      <c r="H496" s="565"/>
      <c r="I496" s="565"/>
    </row>
    <row r="497" spans="3:9">
      <c r="C497" s="573"/>
      <c r="D497" s="565"/>
      <c r="E497" s="573"/>
      <c r="F497" s="573"/>
      <c r="G497" s="565"/>
      <c r="H497" s="565"/>
      <c r="I497" s="565"/>
    </row>
    <row r="498" spans="3:9">
      <c r="C498" s="573"/>
      <c r="D498" s="565"/>
      <c r="E498" s="573"/>
      <c r="F498" s="573"/>
      <c r="G498" s="565"/>
      <c r="H498" s="565"/>
      <c r="I498" s="565"/>
    </row>
    <row r="499" spans="3:9">
      <c r="C499" s="573"/>
      <c r="D499" s="565"/>
      <c r="E499" s="573"/>
      <c r="F499" s="573"/>
      <c r="G499" s="565"/>
      <c r="H499" s="565"/>
      <c r="I499" s="565"/>
    </row>
    <row r="500" spans="3:9">
      <c r="C500" s="573"/>
      <c r="D500" s="565"/>
      <c r="E500" s="573"/>
      <c r="F500" s="573"/>
      <c r="G500" s="565"/>
      <c r="H500" s="565"/>
      <c r="I500" s="565"/>
    </row>
    <row r="501" spans="3:9">
      <c r="C501" s="573"/>
      <c r="D501" s="565"/>
      <c r="E501" s="573"/>
      <c r="F501" s="573"/>
      <c r="G501" s="565"/>
      <c r="H501" s="565"/>
      <c r="I501" s="565"/>
    </row>
    <row r="502" spans="3:9">
      <c r="C502" s="573"/>
      <c r="D502" s="565"/>
      <c r="E502" s="573"/>
      <c r="F502" s="573"/>
      <c r="G502" s="565"/>
      <c r="H502" s="565"/>
      <c r="I502" s="565"/>
    </row>
    <row r="503" spans="3:9">
      <c r="C503" s="573"/>
      <c r="D503" s="565"/>
      <c r="E503" s="573"/>
      <c r="F503" s="573"/>
      <c r="G503" s="565"/>
      <c r="H503" s="565"/>
      <c r="I503" s="565"/>
    </row>
    <row r="504" spans="3:9">
      <c r="C504" s="573"/>
      <c r="D504" s="565"/>
      <c r="E504" s="573"/>
      <c r="F504" s="573"/>
      <c r="G504" s="565"/>
      <c r="H504" s="565"/>
      <c r="I504" s="565"/>
    </row>
    <row r="505" spans="3:9">
      <c r="C505" s="573"/>
      <c r="D505" s="565"/>
      <c r="E505" s="573"/>
      <c r="F505" s="573"/>
      <c r="G505" s="565"/>
      <c r="H505" s="565"/>
      <c r="I505" s="565"/>
    </row>
    <row r="506" spans="3:9">
      <c r="C506" s="573"/>
      <c r="D506" s="565"/>
      <c r="E506" s="573"/>
      <c r="F506" s="573"/>
      <c r="G506" s="565"/>
      <c r="H506" s="565"/>
      <c r="I506" s="565"/>
    </row>
    <row r="507" spans="3:9">
      <c r="C507" s="573"/>
      <c r="D507" s="565"/>
      <c r="E507" s="573"/>
      <c r="F507" s="573"/>
      <c r="G507" s="565"/>
      <c r="H507" s="565"/>
      <c r="I507" s="565"/>
    </row>
    <row r="508" spans="3:9">
      <c r="C508" s="573"/>
      <c r="D508" s="565"/>
      <c r="E508" s="573"/>
      <c r="F508" s="573"/>
      <c r="G508" s="565"/>
      <c r="H508" s="565"/>
      <c r="I508" s="565"/>
    </row>
    <row r="509" spans="3:9">
      <c r="C509" s="573"/>
      <c r="D509" s="565"/>
      <c r="E509" s="573"/>
      <c r="F509" s="573"/>
      <c r="G509" s="565"/>
      <c r="H509" s="565"/>
      <c r="I509" s="565"/>
    </row>
    <row r="510" spans="3:9">
      <c r="C510" s="573"/>
      <c r="D510" s="565"/>
      <c r="E510" s="573"/>
      <c r="F510" s="573"/>
      <c r="G510" s="565"/>
      <c r="H510" s="565"/>
      <c r="I510" s="565"/>
    </row>
    <row r="511" spans="3:9">
      <c r="C511" s="573"/>
      <c r="D511" s="565"/>
      <c r="E511" s="573"/>
      <c r="F511" s="573"/>
      <c r="G511" s="565"/>
      <c r="H511" s="565"/>
      <c r="I511" s="565"/>
    </row>
    <row r="512" spans="3:9">
      <c r="C512" s="573"/>
      <c r="D512" s="565"/>
      <c r="E512" s="573"/>
      <c r="F512" s="573"/>
      <c r="G512" s="565"/>
      <c r="H512" s="565"/>
      <c r="I512" s="565"/>
    </row>
    <row r="513" spans="3:9">
      <c r="C513" s="573"/>
      <c r="D513" s="565"/>
      <c r="E513" s="573"/>
      <c r="F513" s="573"/>
      <c r="G513" s="565"/>
      <c r="H513" s="565"/>
      <c r="I513" s="565"/>
    </row>
    <row r="514" spans="3:9">
      <c r="C514" s="573"/>
      <c r="D514" s="565"/>
      <c r="E514" s="573"/>
      <c r="F514" s="573"/>
      <c r="G514" s="565"/>
      <c r="H514" s="565"/>
      <c r="I514" s="565"/>
    </row>
    <row r="515" spans="3:9">
      <c r="C515" s="573"/>
      <c r="D515" s="565"/>
      <c r="E515" s="573"/>
      <c r="F515" s="573"/>
      <c r="G515" s="565"/>
      <c r="H515" s="565"/>
      <c r="I515" s="565"/>
    </row>
    <row r="516" spans="3:9">
      <c r="C516" s="573"/>
      <c r="D516" s="565"/>
      <c r="E516" s="573"/>
      <c r="F516" s="573"/>
      <c r="G516" s="565"/>
      <c r="H516" s="565"/>
      <c r="I516" s="565"/>
    </row>
    <row r="517" spans="3:9">
      <c r="C517" s="573"/>
      <c r="D517" s="565"/>
      <c r="E517" s="573"/>
      <c r="F517" s="573"/>
      <c r="G517" s="565"/>
      <c r="H517" s="565"/>
      <c r="I517" s="565"/>
    </row>
    <row r="518" spans="3:9">
      <c r="C518" s="573"/>
      <c r="D518" s="565"/>
      <c r="E518" s="573"/>
      <c r="F518" s="573"/>
      <c r="G518" s="565"/>
      <c r="H518" s="565"/>
      <c r="I518" s="565"/>
    </row>
    <row r="519" spans="3:9">
      <c r="C519" s="573"/>
      <c r="D519" s="565"/>
      <c r="E519" s="573"/>
      <c r="F519" s="573"/>
      <c r="G519" s="565"/>
      <c r="H519" s="565"/>
      <c r="I519" s="565"/>
    </row>
    <row r="520" spans="3:9">
      <c r="C520" s="573"/>
      <c r="D520" s="565"/>
      <c r="E520" s="573"/>
      <c r="F520" s="573"/>
      <c r="G520" s="565"/>
      <c r="H520" s="565"/>
      <c r="I520" s="565"/>
    </row>
    <row r="521" spans="3:9">
      <c r="C521" s="573"/>
      <c r="D521" s="565"/>
      <c r="E521" s="573"/>
      <c r="F521" s="573"/>
      <c r="G521" s="565"/>
      <c r="H521" s="565"/>
      <c r="I521" s="565"/>
    </row>
    <row r="522" spans="3:9">
      <c r="C522" s="573"/>
      <c r="D522" s="565"/>
      <c r="E522" s="573"/>
      <c r="F522" s="573"/>
      <c r="G522" s="565"/>
      <c r="H522" s="565"/>
      <c r="I522" s="565"/>
    </row>
    <row r="523" spans="3:9">
      <c r="C523" s="573"/>
      <c r="D523" s="565"/>
      <c r="E523" s="573"/>
      <c r="F523" s="573"/>
      <c r="G523" s="565"/>
      <c r="H523" s="565"/>
      <c r="I523" s="565"/>
    </row>
    <row r="524" spans="3:9">
      <c r="C524" s="573"/>
      <c r="D524" s="565"/>
      <c r="E524" s="573"/>
      <c r="F524" s="573"/>
      <c r="G524" s="565"/>
      <c r="H524" s="565"/>
      <c r="I524" s="565"/>
    </row>
    <row r="525" spans="3:9">
      <c r="C525" s="573"/>
      <c r="D525" s="565"/>
      <c r="E525" s="573"/>
      <c r="F525" s="573"/>
      <c r="G525" s="565"/>
      <c r="H525" s="565"/>
      <c r="I525" s="565"/>
    </row>
    <row r="526" spans="3:9">
      <c r="C526" s="573"/>
      <c r="D526" s="565"/>
      <c r="E526" s="573"/>
      <c r="F526" s="573"/>
      <c r="G526" s="565"/>
      <c r="H526" s="565"/>
      <c r="I526" s="565"/>
    </row>
    <row r="527" spans="3:9">
      <c r="C527" s="573"/>
      <c r="D527" s="565"/>
      <c r="E527" s="573"/>
      <c r="F527" s="573"/>
      <c r="G527" s="565"/>
      <c r="H527" s="565"/>
      <c r="I527" s="565"/>
    </row>
    <row r="528" spans="3:9">
      <c r="C528" s="573"/>
      <c r="D528" s="565"/>
      <c r="E528" s="573"/>
      <c r="F528" s="573"/>
      <c r="G528" s="565"/>
      <c r="H528" s="565"/>
      <c r="I528" s="565"/>
    </row>
    <row r="529" spans="3:9">
      <c r="C529" s="573"/>
      <c r="D529" s="565"/>
      <c r="E529" s="573"/>
      <c r="F529" s="573"/>
      <c r="G529" s="565"/>
      <c r="H529" s="565"/>
      <c r="I529" s="565"/>
    </row>
    <row r="530" spans="3:9">
      <c r="C530" s="573"/>
      <c r="D530" s="565"/>
      <c r="E530" s="573"/>
      <c r="F530" s="573"/>
      <c r="G530" s="565"/>
      <c r="H530" s="565"/>
      <c r="I530" s="565"/>
    </row>
    <row r="531" spans="3:9">
      <c r="C531" s="573"/>
      <c r="D531" s="565"/>
      <c r="E531" s="573"/>
      <c r="F531" s="573"/>
      <c r="G531" s="565"/>
      <c r="H531" s="565"/>
      <c r="I531" s="565"/>
    </row>
    <row r="532" spans="3:9">
      <c r="C532" s="573"/>
      <c r="D532" s="565"/>
      <c r="E532" s="573"/>
      <c r="F532" s="573"/>
      <c r="G532" s="565"/>
      <c r="H532" s="565"/>
      <c r="I532" s="565"/>
    </row>
    <row r="533" spans="3:9">
      <c r="C533" s="573"/>
      <c r="D533" s="565"/>
      <c r="E533" s="573"/>
      <c r="F533" s="573"/>
      <c r="G533" s="565"/>
      <c r="H533" s="565"/>
      <c r="I533" s="565"/>
    </row>
    <row r="534" spans="3:9">
      <c r="C534" s="573"/>
      <c r="D534" s="565"/>
      <c r="E534" s="573"/>
      <c r="F534" s="573"/>
      <c r="G534" s="565"/>
      <c r="H534" s="565"/>
      <c r="I534" s="565"/>
    </row>
    <row r="535" spans="3:9">
      <c r="C535" s="573"/>
      <c r="D535" s="565"/>
      <c r="E535" s="573"/>
      <c r="F535" s="573"/>
      <c r="G535" s="565"/>
      <c r="H535" s="565"/>
      <c r="I535" s="565"/>
    </row>
    <row r="536" spans="3:9">
      <c r="C536" s="573"/>
      <c r="D536" s="565"/>
      <c r="E536" s="573"/>
      <c r="F536" s="573"/>
      <c r="G536" s="565"/>
      <c r="H536" s="565"/>
      <c r="I536" s="565"/>
    </row>
    <row r="537" spans="3:9">
      <c r="C537" s="573"/>
      <c r="D537" s="565"/>
      <c r="E537" s="573"/>
      <c r="F537" s="573"/>
      <c r="G537" s="565"/>
      <c r="H537" s="565"/>
      <c r="I537" s="565"/>
    </row>
    <row r="538" spans="3:9">
      <c r="C538" s="573"/>
      <c r="D538" s="565"/>
      <c r="E538" s="573"/>
      <c r="F538" s="573"/>
      <c r="G538" s="565"/>
      <c r="H538" s="565"/>
      <c r="I538" s="565"/>
    </row>
    <row r="539" spans="3:9">
      <c r="C539" s="573"/>
      <c r="D539" s="565"/>
      <c r="E539" s="573"/>
      <c r="F539" s="573"/>
      <c r="G539" s="565"/>
      <c r="H539" s="565"/>
      <c r="I539" s="565"/>
    </row>
    <row r="540" spans="3:9">
      <c r="C540" s="573"/>
      <c r="D540" s="565"/>
      <c r="E540" s="573"/>
      <c r="F540" s="573"/>
      <c r="G540" s="565"/>
      <c r="H540" s="565"/>
      <c r="I540" s="565"/>
    </row>
    <row r="541" spans="3:9">
      <c r="C541" s="573"/>
      <c r="D541" s="565"/>
      <c r="E541" s="573"/>
      <c r="F541" s="573"/>
      <c r="G541" s="565"/>
      <c r="H541" s="565"/>
      <c r="I541" s="565"/>
    </row>
    <row r="542" spans="3:9">
      <c r="C542" s="573"/>
      <c r="D542" s="565"/>
      <c r="E542" s="573"/>
      <c r="F542" s="573"/>
      <c r="G542" s="565"/>
      <c r="H542" s="565"/>
      <c r="I542" s="565"/>
    </row>
    <row r="543" spans="3:9">
      <c r="C543" s="573"/>
      <c r="D543" s="565"/>
      <c r="E543" s="573"/>
      <c r="F543" s="573"/>
      <c r="G543" s="565"/>
      <c r="H543" s="565"/>
      <c r="I543" s="565"/>
    </row>
    <row r="544" spans="3:9">
      <c r="C544" s="573"/>
      <c r="D544" s="565"/>
      <c r="E544" s="573"/>
      <c r="F544" s="573"/>
      <c r="G544" s="565"/>
      <c r="H544" s="565"/>
      <c r="I544" s="565"/>
    </row>
    <row r="545" spans="3:9">
      <c r="C545" s="573"/>
      <c r="D545" s="565"/>
      <c r="E545" s="573"/>
      <c r="F545" s="573"/>
      <c r="G545" s="565"/>
      <c r="H545" s="565"/>
      <c r="I545" s="565"/>
    </row>
    <row r="546" spans="3:9">
      <c r="C546" s="573"/>
      <c r="D546" s="565"/>
      <c r="E546" s="573"/>
      <c r="F546" s="573"/>
      <c r="G546" s="565"/>
      <c r="H546" s="565"/>
      <c r="I546" s="565"/>
    </row>
    <row r="547" spans="3:9">
      <c r="C547" s="573"/>
      <c r="D547" s="565"/>
      <c r="E547" s="573"/>
      <c r="F547" s="573"/>
      <c r="G547" s="565"/>
      <c r="H547" s="565"/>
      <c r="I547" s="565"/>
    </row>
    <row r="548" spans="3:9">
      <c r="C548" s="573"/>
      <c r="D548" s="565"/>
      <c r="E548" s="573"/>
      <c r="F548" s="573"/>
      <c r="G548" s="565"/>
      <c r="H548" s="565"/>
      <c r="I548" s="565"/>
    </row>
    <row r="549" spans="3:9">
      <c r="C549" s="573"/>
      <c r="D549" s="565"/>
      <c r="E549" s="573"/>
      <c r="F549" s="573"/>
      <c r="G549" s="565"/>
      <c r="H549" s="565"/>
      <c r="I549" s="565"/>
    </row>
    <row r="550" spans="3:9">
      <c r="C550" s="573"/>
      <c r="D550" s="565"/>
      <c r="E550" s="573"/>
      <c r="F550" s="573"/>
      <c r="G550" s="565"/>
      <c r="H550" s="565"/>
      <c r="I550" s="565"/>
    </row>
    <row r="551" spans="3:9">
      <c r="C551" s="573"/>
      <c r="D551" s="565"/>
      <c r="E551" s="573"/>
      <c r="F551" s="573"/>
      <c r="G551" s="565"/>
      <c r="H551" s="565"/>
      <c r="I551" s="565"/>
    </row>
    <row r="552" spans="3:9">
      <c r="C552" s="573"/>
      <c r="D552" s="565"/>
      <c r="E552" s="573"/>
      <c r="F552" s="573"/>
      <c r="G552" s="565"/>
      <c r="H552" s="565"/>
      <c r="I552" s="565"/>
    </row>
    <row r="553" spans="3:9">
      <c r="C553" s="573"/>
      <c r="D553" s="565"/>
      <c r="E553" s="573"/>
      <c r="F553" s="573"/>
      <c r="G553" s="565"/>
      <c r="H553" s="565"/>
      <c r="I553" s="565"/>
    </row>
    <row r="554" spans="3:9">
      <c r="C554" s="573"/>
      <c r="D554" s="565"/>
      <c r="E554" s="573"/>
      <c r="F554" s="573"/>
      <c r="G554" s="565"/>
      <c r="H554" s="565"/>
      <c r="I554" s="565"/>
    </row>
    <row r="555" spans="3:9">
      <c r="C555" s="573"/>
      <c r="D555" s="565"/>
      <c r="E555" s="573"/>
      <c r="F555" s="573"/>
      <c r="G555" s="565"/>
      <c r="H555" s="565"/>
      <c r="I555" s="565"/>
    </row>
    <row r="556" spans="3:9">
      <c r="C556" s="573"/>
      <c r="D556" s="565"/>
      <c r="E556" s="573"/>
      <c r="F556" s="573"/>
      <c r="G556" s="565"/>
      <c r="H556" s="565"/>
      <c r="I556" s="565"/>
    </row>
    <row r="557" spans="3:9">
      <c r="C557" s="573"/>
      <c r="D557" s="565"/>
      <c r="E557" s="573"/>
      <c r="F557" s="573"/>
      <c r="G557" s="565"/>
      <c r="H557" s="565"/>
      <c r="I557" s="565"/>
    </row>
    <row r="558" spans="3:9">
      <c r="C558" s="573"/>
      <c r="D558" s="565"/>
      <c r="E558" s="573"/>
      <c r="F558" s="573"/>
      <c r="G558" s="565"/>
      <c r="H558" s="565"/>
      <c r="I558" s="565"/>
    </row>
    <row r="559" spans="3:9">
      <c r="C559" s="573"/>
      <c r="D559" s="565"/>
      <c r="E559" s="573"/>
      <c r="F559" s="573"/>
      <c r="G559" s="565"/>
      <c r="H559" s="565"/>
      <c r="I559" s="565"/>
    </row>
    <row r="560" spans="3:9">
      <c r="C560" s="573"/>
      <c r="D560" s="565"/>
      <c r="E560" s="573"/>
      <c r="F560" s="573"/>
      <c r="G560" s="565"/>
      <c r="H560" s="565"/>
      <c r="I560" s="565"/>
    </row>
    <row r="561" spans="3:9">
      <c r="C561" s="573"/>
      <c r="D561" s="565"/>
      <c r="E561" s="573"/>
      <c r="F561" s="573"/>
      <c r="G561" s="565"/>
      <c r="H561" s="565"/>
      <c r="I561" s="565"/>
    </row>
    <row r="562" spans="3:9">
      <c r="C562" s="573"/>
      <c r="D562" s="565"/>
      <c r="E562" s="573"/>
      <c r="F562" s="573"/>
      <c r="G562" s="565"/>
      <c r="H562" s="565"/>
      <c r="I562" s="565"/>
    </row>
    <row r="563" spans="3:9">
      <c r="C563" s="573"/>
      <c r="D563" s="565"/>
      <c r="E563" s="573"/>
      <c r="F563" s="573"/>
      <c r="G563" s="565"/>
      <c r="H563" s="565"/>
      <c r="I563" s="565"/>
    </row>
    <row r="564" spans="3:9">
      <c r="C564" s="573"/>
      <c r="D564" s="565"/>
      <c r="E564" s="573"/>
      <c r="F564" s="573"/>
      <c r="G564" s="565"/>
      <c r="H564" s="565"/>
      <c r="I564" s="565"/>
    </row>
    <row r="565" spans="3:9">
      <c r="C565" s="573"/>
      <c r="D565" s="565"/>
      <c r="E565" s="573"/>
      <c r="F565" s="573"/>
      <c r="G565" s="565"/>
      <c r="H565" s="565"/>
      <c r="I565" s="565"/>
    </row>
    <row r="566" spans="3:9">
      <c r="C566" s="573"/>
      <c r="D566" s="565"/>
      <c r="E566" s="573"/>
      <c r="F566" s="573"/>
      <c r="G566" s="565"/>
      <c r="H566" s="565"/>
      <c r="I566" s="565"/>
    </row>
    <row r="567" spans="3:9">
      <c r="C567" s="573"/>
      <c r="D567" s="565"/>
      <c r="E567" s="573"/>
      <c r="F567" s="573"/>
      <c r="G567" s="565"/>
      <c r="H567" s="565"/>
      <c r="I567" s="565"/>
    </row>
    <row r="568" spans="3:9">
      <c r="C568" s="573"/>
      <c r="D568" s="565"/>
      <c r="E568" s="573"/>
      <c r="F568" s="573"/>
      <c r="G568" s="565"/>
      <c r="H568" s="565"/>
      <c r="I568" s="565"/>
    </row>
    <row r="569" spans="3:9">
      <c r="C569" s="573"/>
      <c r="D569" s="565"/>
      <c r="E569" s="573"/>
      <c r="F569" s="573"/>
      <c r="G569" s="565"/>
      <c r="H569" s="565"/>
      <c r="I569" s="565"/>
    </row>
    <row r="570" spans="3:9">
      <c r="C570" s="573"/>
      <c r="D570" s="565"/>
      <c r="E570" s="573"/>
      <c r="F570" s="573"/>
      <c r="G570" s="565"/>
      <c r="H570" s="565"/>
      <c r="I570" s="565"/>
    </row>
    <row r="571" spans="3:9">
      <c r="C571" s="573"/>
      <c r="D571" s="565"/>
      <c r="E571" s="573"/>
      <c r="F571" s="573"/>
      <c r="G571" s="565"/>
      <c r="H571" s="565"/>
      <c r="I571" s="565"/>
    </row>
    <row r="572" spans="3:9">
      <c r="C572" s="573"/>
      <c r="D572" s="565"/>
      <c r="E572" s="573"/>
      <c r="F572" s="573"/>
      <c r="G572" s="565"/>
      <c r="H572" s="565"/>
      <c r="I572" s="565"/>
    </row>
    <row r="573" spans="3:9">
      <c r="C573" s="573"/>
      <c r="D573" s="565"/>
      <c r="E573" s="573"/>
      <c r="F573" s="573"/>
      <c r="G573" s="565"/>
      <c r="H573" s="565"/>
      <c r="I573" s="565"/>
    </row>
    <row r="574" spans="3:9">
      <c r="C574" s="573"/>
      <c r="D574" s="565"/>
      <c r="E574" s="573"/>
      <c r="F574" s="573"/>
      <c r="G574" s="565"/>
      <c r="H574" s="565"/>
      <c r="I574" s="565"/>
    </row>
    <row r="575" spans="3:9">
      <c r="C575" s="573"/>
      <c r="D575" s="565"/>
      <c r="E575" s="573"/>
      <c r="F575" s="573"/>
      <c r="G575" s="565"/>
      <c r="H575" s="565"/>
      <c r="I575" s="565"/>
    </row>
    <row r="576" spans="3:9">
      <c r="C576" s="573"/>
      <c r="D576" s="565"/>
      <c r="E576" s="573"/>
      <c r="F576" s="573"/>
      <c r="G576" s="565"/>
      <c r="H576" s="565"/>
      <c r="I576" s="565"/>
    </row>
    <row r="577" spans="3:9">
      <c r="C577" s="573"/>
      <c r="D577" s="565"/>
      <c r="E577" s="573"/>
      <c r="F577" s="573"/>
      <c r="G577" s="565"/>
      <c r="H577" s="565"/>
      <c r="I577" s="565"/>
    </row>
    <row r="578" spans="3:9">
      <c r="C578" s="573"/>
      <c r="D578" s="565"/>
      <c r="E578" s="573"/>
      <c r="F578" s="573"/>
      <c r="G578" s="565"/>
      <c r="H578" s="565"/>
      <c r="I578" s="565"/>
    </row>
    <row r="579" spans="3:9">
      <c r="C579" s="573"/>
      <c r="D579" s="565"/>
      <c r="E579" s="573"/>
      <c r="F579" s="573"/>
      <c r="G579" s="565"/>
      <c r="H579" s="565"/>
      <c r="I579" s="565"/>
    </row>
    <row r="580" spans="3:9">
      <c r="C580" s="573"/>
      <c r="D580" s="565"/>
      <c r="E580" s="573"/>
      <c r="F580" s="573"/>
      <c r="G580" s="565"/>
      <c r="H580" s="565"/>
      <c r="I580" s="565"/>
    </row>
    <row r="581" spans="3:9">
      <c r="C581" s="573"/>
      <c r="D581" s="565"/>
      <c r="E581" s="573"/>
      <c r="F581" s="573"/>
      <c r="G581" s="565"/>
      <c r="H581" s="565"/>
      <c r="I581" s="565"/>
    </row>
    <row r="582" spans="3:9">
      <c r="C582" s="573"/>
      <c r="D582" s="565"/>
      <c r="E582" s="573"/>
      <c r="F582" s="573"/>
      <c r="G582" s="565"/>
      <c r="H582" s="565"/>
      <c r="I582" s="565"/>
    </row>
    <row r="583" spans="3:9">
      <c r="C583" s="573"/>
      <c r="D583" s="565"/>
      <c r="E583" s="573"/>
      <c r="F583" s="573"/>
      <c r="G583" s="565"/>
      <c r="H583" s="565"/>
      <c r="I583" s="565"/>
    </row>
    <row r="584" spans="3:9">
      <c r="C584" s="573"/>
      <c r="D584" s="565"/>
      <c r="E584" s="573"/>
      <c r="F584" s="573"/>
      <c r="G584" s="565"/>
      <c r="H584" s="565"/>
      <c r="I584" s="565"/>
    </row>
    <row r="585" spans="3:9">
      <c r="C585" s="573"/>
      <c r="D585" s="565"/>
      <c r="E585" s="573"/>
      <c r="F585" s="573"/>
      <c r="G585" s="565"/>
      <c r="H585" s="565"/>
      <c r="I585" s="565"/>
    </row>
    <row r="586" spans="3:9">
      <c r="C586" s="573"/>
      <c r="D586" s="565"/>
      <c r="E586" s="573"/>
      <c r="F586" s="573"/>
      <c r="G586" s="565"/>
      <c r="H586" s="565"/>
      <c r="I586" s="565"/>
    </row>
    <row r="587" spans="3:9">
      <c r="C587" s="573"/>
      <c r="D587" s="565"/>
      <c r="E587" s="573"/>
      <c r="F587" s="573"/>
      <c r="G587" s="565"/>
      <c r="H587" s="565"/>
      <c r="I587" s="565"/>
    </row>
    <row r="588" spans="3:9">
      <c r="C588" s="573"/>
      <c r="D588" s="565"/>
      <c r="E588" s="573"/>
      <c r="F588" s="573"/>
      <c r="G588" s="565"/>
      <c r="H588" s="565"/>
      <c r="I588" s="565"/>
    </row>
    <row r="589" spans="3:9">
      <c r="C589" s="573"/>
      <c r="D589" s="565"/>
      <c r="E589" s="573"/>
      <c r="F589" s="573"/>
      <c r="G589" s="565"/>
      <c r="H589" s="565"/>
      <c r="I589" s="565"/>
    </row>
    <row r="590" spans="3:9">
      <c r="C590" s="573"/>
      <c r="D590" s="565"/>
      <c r="E590" s="573"/>
      <c r="F590" s="573"/>
      <c r="G590" s="565"/>
      <c r="H590" s="565"/>
      <c r="I590" s="565"/>
    </row>
    <row r="591" spans="3:9">
      <c r="C591" s="573"/>
      <c r="D591" s="565"/>
      <c r="E591" s="573"/>
      <c r="F591" s="573"/>
      <c r="G591" s="565"/>
      <c r="H591" s="565"/>
      <c r="I591" s="565"/>
    </row>
    <row r="592" spans="3:9">
      <c r="C592" s="573"/>
      <c r="D592" s="565"/>
      <c r="E592" s="573"/>
      <c r="F592" s="573"/>
      <c r="G592" s="565"/>
      <c r="H592" s="565"/>
      <c r="I592" s="565"/>
    </row>
    <row r="593" spans="3:9">
      <c r="C593" s="573"/>
      <c r="D593" s="565"/>
      <c r="E593" s="573"/>
      <c r="F593" s="573"/>
      <c r="G593" s="565"/>
      <c r="H593" s="565"/>
      <c r="I593" s="565"/>
    </row>
    <row r="594" spans="3:9">
      <c r="C594" s="573"/>
      <c r="D594" s="565"/>
      <c r="E594" s="573"/>
      <c r="F594" s="573"/>
      <c r="G594" s="565"/>
      <c r="H594" s="565"/>
      <c r="I594" s="565"/>
    </row>
    <row r="595" spans="3:9">
      <c r="C595" s="573"/>
      <c r="D595" s="565"/>
      <c r="E595" s="573"/>
      <c r="F595" s="573"/>
      <c r="G595" s="565"/>
      <c r="H595" s="565"/>
      <c r="I595" s="565"/>
    </row>
    <row r="596" spans="3:9">
      <c r="C596" s="573"/>
      <c r="D596" s="565"/>
      <c r="E596" s="573"/>
      <c r="F596" s="573"/>
      <c r="G596" s="565"/>
      <c r="H596" s="565"/>
      <c r="I596" s="565"/>
    </row>
    <row r="597" spans="3:9">
      <c r="C597" s="573"/>
      <c r="D597" s="565"/>
      <c r="E597" s="573"/>
      <c r="F597" s="573"/>
      <c r="G597" s="565"/>
      <c r="H597" s="565"/>
      <c r="I597" s="565"/>
    </row>
    <row r="598" spans="3:9">
      <c r="C598" s="573"/>
      <c r="D598" s="565"/>
      <c r="E598" s="573"/>
      <c r="F598" s="573"/>
      <c r="G598" s="565"/>
      <c r="H598" s="565"/>
      <c r="I598" s="565"/>
    </row>
    <row r="599" spans="3:9">
      <c r="C599" s="573"/>
      <c r="D599" s="565"/>
      <c r="E599" s="573"/>
      <c r="F599" s="573"/>
      <c r="G599" s="565"/>
      <c r="H599" s="565"/>
      <c r="I599" s="565"/>
    </row>
    <row r="600" spans="3:9">
      <c r="C600" s="573"/>
      <c r="D600" s="565"/>
      <c r="E600" s="573"/>
      <c r="F600" s="573"/>
      <c r="G600" s="565"/>
      <c r="H600" s="565"/>
      <c r="I600" s="565"/>
    </row>
    <row r="601" spans="3:9">
      <c r="C601" s="573"/>
      <c r="D601" s="565"/>
      <c r="E601" s="573"/>
      <c r="F601" s="573"/>
      <c r="G601" s="565"/>
      <c r="H601" s="565"/>
      <c r="I601" s="565"/>
    </row>
    <row r="602" spans="3:9">
      <c r="C602" s="573"/>
      <c r="D602" s="565"/>
      <c r="E602" s="573"/>
      <c r="F602" s="573"/>
      <c r="G602" s="565"/>
      <c r="H602" s="565"/>
      <c r="I602" s="565"/>
    </row>
    <row r="603" spans="3:9">
      <c r="C603" s="573"/>
      <c r="D603" s="565"/>
      <c r="E603" s="573"/>
      <c r="F603" s="573"/>
      <c r="G603" s="565"/>
      <c r="H603" s="565"/>
      <c r="I603" s="565"/>
    </row>
    <row r="604" spans="3:9">
      <c r="C604" s="573"/>
      <c r="D604" s="565"/>
      <c r="E604" s="573"/>
      <c r="F604" s="573"/>
      <c r="G604" s="565"/>
      <c r="H604" s="565"/>
      <c r="I604" s="565"/>
    </row>
    <row r="605" spans="3:9">
      <c r="C605" s="573"/>
      <c r="D605" s="565"/>
      <c r="E605" s="573"/>
      <c r="F605" s="573"/>
      <c r="G605" s="565"/>
      <c r="H605" s="565"/>
      <c r="I605" s="565"/>
    </row>
    <row r="606" spans="3:9">
      <c r="C606" s="573"/>
      <c r="D606" s="565"/>
      <c r="E606" s="573"/>
      <c r="F606" s="573"/>
      <c r="G606" s="565"/>
      <c r="H606" s="565"/>
      <c r="I606" s="565"/>
    </row>
    <row r="607" spans="3:9">
      <c r="C607" s="573"/>
      <c r="D607" s="565"/>
      <c r="E607" s="573"/>
      <c r="F607" s="573"/>
      <c r="G607" s="565"/>
      <c r="H607" s="565"/>
      <c r="I607" s="565"/>
    </row>
    <row r="608" spans="3:9">
      <c r="C608" s="573"/>
      <c r="D608" s="565"/>
      <c r="E608" s="573"/>
      <c r="F608" s="573"/>
      <c r="G608" s="565"/>
      <c r="H608" s="565"/>
      <c r="I608" s="565"/>
    </row>
    <row r="609" spans="3:9">
      <c r="C609" s="573"/>
      <c r="D609" s="565"/>
      <c r="E609" s="573"/>
      <c r="F609" s="573"/>
      <c r="G609" s="565"/>
      <c r="H609" s="565"/>
      <c r="I609" s="565"/>
    </row>
    <row r="610" spans="3:9">
      <c r="C610" s="573"/>
      <c r="D610" s="565"/>
      <c r="E610" s="573"/>
      <c r="F610" s="573"/>
      <c r="G610" s="565"/>
      <c r="H610" s="565"/>
      <c r="I610" s="565"/>
    </row>
    <row r="611" spans="3:9">
      <c r="C611" s="573"/>
      <c r="D611" s="565"/>
      <c r="E611" s="573"/>
      <c r="F611" s="573"/>
      <c r="G611" s="565"/>
      <c r="H611" s="565"/>
      <c r="I611" s="565"/>
    </row>
    <row r="612" spans="3:9">
      <c r="C612" s="573"/>
      <c r="D612" s="565"/>
      <c r="E612" s="573"/>
      <c r="F612" s="573"/>
      <c r="G612" s="565"/>
      <c r="H612" s="565"/>
      <c r="I612" s="565"/>
    </row>
    <row r="613" spans="3:9">
      <c r="C613" s="573"/>
      <c r="D613" s="565"/>
      <c r="E613" s="573"/>
      <c r="F613" s="573"/>
      <c r="G613" s="565"/>
      <c r="H613" s="565"/>
      <c r="I613" s="565"/>
    </row>
    <row r="614" spans="3:9">
      <c r="C614" s="573"/>
      <c r="D614" s="565"/>
      <c r="E614" s="573"/>
      <c r="F614" s="573"/>
      <c r="G614" s="565"/>
      <c r="H614" s="565"/>
      <c r="I614" s="565"/>
    </row>
    <row r="615" spans="3:9">
      <c r="C615" s="573"/>
      <c r="D615" s="565"/>
      <c r="E615" s="573"/>
      <c r="F615" s="573"/>
      <c r="G615" s="565"/>
      <c r="H615" s="565"/>
      <c r="I615" s="565"/>
    </row>
    <row r="616" spans="3:9">
      <c r="C616" s="573"/>
      <c r="D616" s="565"/>
      <c r="E616" s="573"/>
      <c r="F616" s="573"/>
      <c r="G616" s="565"/>
      <c r="H616" s="565"/>
      <c r="I616" s="565"/>
    </row>
    <row r="617" spans="3:9">
      <c r="C617" s="573"/>
      <c r="D617" s="565"/>
      <c r="E617" s="573"/>
      <c r="F617" s="573"/>
      <c r="G617" s="565"/>
      <c r="H617" s="565"/>
      <c r="I617" s="565"/>
    </row>
    <row r="618" spans="3:9">
      <c r="C618" s="573"/>
      <c r="D618" s="565"/>
      <c r="E618" s="573"/>
      <c r="F618" s="573"/>
      <c r="G618" s="565"/>
      <c r="H618" s="565"/>
      <c r="I618" s="565"/>
    </row>
    <row r="619" spans="3:9">
      <c r="C619" s="573"/>
      <c r="D619" s="565"/>
      <c r="E619" s="573"/>
      <c r="F619" s="573"/>
      <c r="G619" s="565"/>
      <c r="H619" s="565"/>
      <c r="I619" s="565"/>
    </row>
    <row r="620" spans="3:9">
      <c r="C620" s="573"/>
      <c r="D620" s="565"/>
      <c r="E620" s="573"/>
      <c r="F620" s="573"/>
      <c r="G620" s="565"/>
      <c r="H620" s="565"/>
      <c r="I620" s="565"/>
    </row>
    <row r="621" spans="3:9">
      <c r="C621" s="573"/>
      <c r="D621" s="565"/>
      <c r="E621" s="573"/>
      <c r="F621" s="573"/>
      <c r="G621" s="565"/>
      <c r="H621" s="565"/>
      <c r="I621" s="565"/>
    </row>
    <row r="622" spans="3:9">
      <c r="C622" s="573"/>
      <c r="D622" s="565"/>
      <c r="E622" s="573"/>
      <c r="F622" s="573"/>
      <c r="G622" s="565"/>
      <c r="H622" s="565"/>
      <c r="I622" s="565"/>
    </row>
    <row r="623" spans="3:9">
      <c r="C623" s="573"/>
      <c r="D623" s="565"/>
      <c r="E623" s="573"/>
      <c r="F623" s="573"/>
      <c r="G623" s="565"/>
      <c r="H623" s="565"/>
      <c r="I623" s="565"/>
    </row>
    <row r="624" spans="3:9">
      <c r="C624" s="573"/>
      <c r="D624" s="565"/>
      <c r="E624" s="573"/>
      <c r="F624" s="573"/>
      <c r="G624" s="565"/>
      <c r="H624" s="565"/>
      <c r="I624" s="565"/>
    </row>
    <row r="625" spans="3:9">
      <c r="C625" s="573"/>
      <c r="D625" s="565"/>
      <c r="E625" s="573"/>
      <c r="F625" s="573"/>
      <c r="G625" s="565"/>
      <c r="H625" s="565"/>
      <c r="I625" s="565"/>
    </row>
    <row r="626" spans="3:9">
      <c r="C626" s="573"/>
      <c r="D626" s="565"/>
      <c r="E626" s="573"/>
      <c r="F626" s="573"/>
      <c r="G626" s="565"/>
      <c r="H626" s="565"/>
      <c r="I626" s="565"/>
    </row>
    <row r="627" spans="3:9">
      <c r="C627" s="573"/>
      <c r="D627" s="565"/>
      <c r="E627" s="573"/>
      <c r="F627" s="573"/>
      <c r="G627" s="565"/>
      <c r="H627" s="565"/>
      <c r="I627" s="565"/>
    </row>
    <row r="628" spans="3:9">
      <c r="C628" s="573"/>
      <c r="D628" s="565"/>
      <c r="E628" s="573"/>
      <c r="F628" s="573"/>
      <c r="G628" s="565"/>
      <c r="H628" s="565"/>
      <c r="I628" s="565"/>
    </row>
    <row r="629" spans="3:9">
      <c r="C629" s="573"/>
      <c r="D629" s="565"/>
      <c r="E629" s="573"/>
      <c r="F629" s="573"/>
      <c r="G629" s="565"/>
      <c r="H629" s="565"/>
      <c r="I629" s="565"/>
    </row>
    <row r="630" spans="3:9">
      <c r="C630" s="573"/>
      <c r="D630" s="565"/>
      <c r="E630" s="573"/>
      <c r="F630" s="573"/>
      <c r="G630" s="565"/>
      <c r="H630" s="565"/>
      <c r="I630" s="565"/>
    </row>
    <row r="631" spans="3:9">
      <c r="C631" s="573"/>
      <c r="D631" s="565"/>
      <c r="E631" s="573"/>
      <c r="F631" s="573"/>
      <c r="G631" s="565"/>
      <c r="H631" s="565"/>
      <c r="I631" s="565"/>
    </row>
    <row r="632" spans="3:9">
      <c r="C632" s="573"/>
      <c r="D632" s="565"/>
      <c r="E632" s="573"/>
      <c r="F632" s="573"/>
      <c r="G632" s="565"/>
      <c r="H632" s="565"/>
      <c r="I632" s="565"/>
    </row>
    <row r="633" spans="3:9">
      <c r="C633" s="573"/>
      <c r="D633" s="565"/>
      <c r="E633" s="573"/>
      <c r="F633" s="573"/>
      <c r="G633" s="565"/>
      <c r="H633" s="565"/>
      <c r="I633" s="565"/>
    </row>
    <row r="634" spans="3:9">
      <c r="C634" s="573"/>
      <c r="D634" s="565"/>
      <c r="E634" s="573"/>
      <c r="F634" s="573"/>
      <c r="G634" s="565"/>
      <c r="H634" s="565"/>
      <c r="I634" s="565"/>
    </row>
    <row r="635" spans="3:9">
      <c r="C635" s="573"/>
      <c r="D635" s="565"/>
      <c r="E635" s="573"/>
      <c r="F635" s="573"/>
      <c r="G635" s="565"/>
      <c r="H635" s="565"/>
      <c r="I635" s="565"/>
    </row>
    <row r="636" spans="3:9">
      <c r="C636" s="573"/>
      <c r="D636" s="565"/>
      <c r="E636" s="573"/>
      <c r="F636" s="573"/>
      <c r="G636" s="565"/>
      <c r="H636" s="565"/>
      <c r="I636" s="565"/>
    </row>
    <row r="637" spans="3:9">
      <c r="C637" s="573"/>
      <c r="D637" s="565"/>
      <c r="E637" s="573"/>
      <c r="F637" s="573"/>
      <c r="G637" s="565"/>
      <c r="H637" s="565"/>
      <c r="I637" s="565"/>
    </row>
    <row r="638" spans="3:9">
      <c r="C638" s="573"/>
      <c r="D638" s="565"/>
      <c r="E638" s="573"/>
      <c r="F638" s="573"/>
      <c r="G638" s="565"/>
      <c r="H638" s="565"/>
      <c r="I638" s="565"/>
    </row>
    <row r="639" spans="3:9">
      <c r="C639" s="573"/>
      <c r="D639" s="565"/>
      <c r="E639" s="573"/>
      <c r="F639" s="573"/>
      <c r="G639" s="565"/>
      <c r="H639" s="565"/>
      <c r="I639" s="565"/>
    </row>
    <row r="640" spans="3:9">
      <c r="C640" s="573"/>
      <c r="D640" s="565"/>
      <c r="E640" s="573"/>
      <c r="F640" s="573"/>
      <c r="G640" s="565"/>
      <c r="H640" s="565"/>
      <c r="I640" s="565"/>
    </row>
    <row r="641" spans="3:9">
      <c r="C641" s="573"/>
      <c r="D641" s="565"/>
      <c r="E641" s="573"/>
      <c r="F641" s="573"/>
      <c r="G641" s="565"/>
      <c r="H641" s="565"/>
      <c r="I641" s="565"/>
    </row>
    <row r="642" spans="3:9">
      <c r="C642" s="573"/>
      <c r="D642" s="565"/>
      <c r="E642" s="573"/>
      <c r="F642" s="573"/>
      <c r="G642" s="565"/>
      <c r="H642" s="565"/>
      <c r="I642" s="565"/>
    </row>
    <row r="643" spans="3:9">
      <c r="C643" s="573"/>
      <c r="D643" s="565"/>
      <c r="E643" s="573"/>
      <c r="F643" s="573"/>
      <c r="G643" s="565"/>
      <c r="H643" s="565"/>
      <c r="I643" s="565"/>
    </row>
    <row r="644" spans="3:9">
      <c r="C644" s="573"/>
      <c r="D644" s="565"/>
      <c r="E644" s="573"/>
      <c r="F644" s="573"/>
      <c r="G644" s="565"/>
      <c r="H644" s="565"/>
      <c r="I644" s="565"/>
    </row>
    <row r="645" spans="3:9">
      <c r="C645" s="573"/>
      <c r="D645" s="565"/>
      <c r="E645" s="573"/>
      <c r="F645" s="573"/>
      <c r="G645" s="565"/>
      <c r="H645" s="565"/>
      <c r="I645" s="565"/>
    </row>
    <row r="646" spans="3:9">
      <c r="C646" s="573"/>
      <c r="D646" s="565"/>
      <c r="E646" s="573"/>
      <c r="F646" s="573"/>
      <c r="G646" s="565"/>
      <c r="H646" s="565"/>
      <c r="I646" s="565"/>
    </row>
    <row r="647" spans="3:9">
      <c r="C647" s="574"/>
      <c r="E647" s="574"/>
      <c r="F647" s="574"/>
      <c r="G647" s="565"/>
      <c r="H647" s="565"/>
      <c r="I647" s="565"/>
    </row>
    <row r="648" spans="3:9">
      <c r="C648" s="574"/>
      <c r="E648" s="574"/>
      <c r="F648" s="574"/>
      <c r="G648" s="565"/>
      <c r="H648" s="565"/>
      <c r="I648" s="565"/>
    </row>
    <row r="649" spans="3:9">
      <c r="C649" s="574"/>
      <c r="E649" s="574"/>
      <c r="F649" s="574"/>
      <c r="G649" s="565"/>
      <c r="H649" s="565"/>
      <c r="I649" s="565"/>
    </row>
    <row r="650" spans="3:9">
      <c r="C650" s="574"/>
      <c r="E650" s="574"/>
      <c r="F650" s="574"/>
      <c r="G650" s="565"/>
      <c r="H650" s="565"/>
      <c r="I650" s="565"/>
    </row>
    <row r="651" spans="3:9">
      <c r="C651" s="574"/>
      <c r="E651" s="574"/>
      <c r="F651" s="574"/>
      <c r="G651" s="565"/>
      <c r="H651" s="565"/>
      <c r="I651" s="565"/>
    </row>
    <row r="652" spans="3:9">
      <c r="C652" s="574"/>
      <c r="E652" s="574"/>
      <c r="F652" s="574"/>
      <c r="G652" s="565"/>
      <c r="H652" s="565"/>
      <c r="I652" s="565"/>
    </row>
    <row r="653" spans="3:9">
      <c r="C653" s="574"/>
      <c r="E653" s="574"/>
      <c r="F653" s="574"/>
      <c r="G653" s="565"/>
      <c r="H653" s="565"/>
      <c r="I653" s="565"/>
    </row>
    <row r="654" spans="3:9">
      <c r="C654" s="574"/>
      <c r="E654" s="574"/>
      <c r="F654" s="574"/>
      <c r="G654" s="565"/>
      <c r="H654" s="565"/>
      <c r="I654" s="565"/>
    </row>
    <row r="655" spans="3:9">
      <c r="C655" s="574"/>
      <c r="E655" s="574"/>
      <c r="F655" s="574"/>
      <c r="G655" s="565"/>
      <c r="H655" s="565"/>
      <c r="I655" s="565"/>
    </row>
    <row r="656" spans="3:9">
      <c r="C656" s="574"/>
      <c r="E656" s="574"/>
      <c r="F656" s="574"/>
      <c r="G656" s="565"/>
      <c r="H656" s="565"/>
      <c r="I656" s="565"/>
    </row>
    <row r="657" spans="3:9">
      <c r="C657" s="574"/>
      <c r="E657" s="574"/>
      <c r="F657" s="574"/>
      <c r="G657" s="565"/>
      <c r="H657" s="565"/>
      <c r="I657" s="565"/>
    </row>
    <row r="658" spans="3:9">
      <c r="C658" s="574"/>
      <c r="E658" s="574"/>
      <c r="F658" s="574"/>
      <c r="G658" s="565"/>
      <c r="H658" s="565"/>
      <c r="I658" s="565"/>
    </row>
    <row r="659" spans="3:9">
      <c r="C659" s="574"/>
      <c r="E659" s="574"/>
      <c r="F659" s="574"/>
      <c r="G659" s="565"/>
      <c r="H659" s="565"/>
      <c r="I659" s="565"/>
    </row>
    <row r="660" spans="3:9">
      <c r="C660" s="574"/>
      <c r="E660" s="574"/>
      <c r="F660" s="574"/>
      <c r="G660" s="565"/>
      <c r="H660" s="565"/>
      <c r="I660" s="565"/>
    </row>
    <row r="661" spans="3:9">
      <c r="C661" s="574"/>
      <c r="E661" s="574"/>
      <c r="F661" s="574"/>
      <c r="G661" s="565"/>
      <c r="H661" s="565"/>
      <c r="I661" s="565"/>
    </row>
    <row r="662" spans="3:9">
      <c r="C662" s="574"/>
      <c r="E662" s="574"/>
      <c r="F662" s="574"/>
      <c r="G662" s="565"/>
      <c r="H662" s="565"/>
      <c r="I662" s="565"/>
    </row>
    <row r="663" spans="3:9">
      <c r="C663" s="574"/>
      <c r="E663" s="574"/>
      <c r="F663" s="574"/>
      <c r="G663" s="565"/>
      <c r="H663" s="565"/>
      <c r="I663" s="565"/>
    </row>
    <row r="664" spans="3:9">
      <c r="C664" s="574"/>
      <c r="E664" s="574"/>
      <c r="F664" s="574"/>
      <c r="G664" s="565"/>
      <c r="H664" s="565"/>
      <c r="I664" s="565"/>
    </row>
    <row r="665" spans="3:9">
      <c r="C665" s="574"/>
      <c r="E665" s="574"/>
      <c r="F665" s="574"/>
      <c r="G665" s="565"/>
      <c r="H665" s="565"/>
      <c r="I665" s="565"/>
    </row>
    <row r="666" spans="3:9">
      <c r="C666" s="574"/>
      <c r="E666" s="574"/>
      <c r="F666" s="574"/>
      <c r="G666" s="565"/>
      <c r="H666" s="565"/>
      <c r="I666" s="565"/>
    </row>
    <row r="667" spans="3:9">
      <c r="C667" s="574"/>
      <c r="E667" s="574"/>
      <c r="F667" s="574"/>
      <c r="G667" s="565"/>
      <c r="H667" s="565"/>
      <c r="I667" s="565"/>
    </row>
    <row r="668" spans="3:9">
      <c r="C668" s="574"/>
      <c r="E668" s="574"/>
      <c r="F668" s="574"/>
    </row>
    <row r="669" spans="3:9">
      <c r="C669" s="574"/>
      <c r="E669" s="574"/>
      <c r="F669" s="574"/>
    </row>
    <row r="670" spans="3:9">
      <c r="C670" s="574"/>
      <c r="E670" s="574"/>
      <c r="F670" s="574"/>
    </row>
    <row r="671" spans="3:9">
      <c r="C671" s="574"/>
      <c r="E671" s="574"/>
      <c r="F671" s="574"/>
    </row>
    <row r="672" spans="3:9">
      <c r="C672" s="574"/>
      <c r="E672" s="574"/>
      <c r="F672" s="574"/>
    </row>
    <row r="673" spans="3:6">
      <c r="C673" s="574"/>
      <c r="E673" s="574"/>
      <c r="F673" s="574"/>
    </row>
    <row r="674" spans="3:6">
      <c r="C674" s="574"/>
      <c r="E674" s="574"/>
      <c r="F674" s="574"/>
    </row>
    <row r="675" spans="3:6">
      <c r="C675" s="574"/>
      <c r="E675" s="574"/>
      <c r="F675" s="574"/>
    </row>
    <row r="676" spans="3:6">
      <c r="C676" s="574"/>
      <c r="E676" s="574"/>
      <c r="F676" s="574"/>
    </row>
    <row r="677" spans="3:6">
      <c r="C677" s="574"/>
      <c r="E677" s="574"/>
      <c r="F677" s="574"/>
    </row>
    <row r="678" spans="3:6">
      <c r="C678" s="574"/>
      <c r="E678" s="574"/>
      <c r="F678" s="574"/>
    </row>
    <row r="679" spans="3:6">
      <c r="C679" s="574"/>
      <c r="E679" s="574"/>
      <c r="F679" s="574"/>
    </row>
    <row r="680" spans="3:6">
      <c r="C680" s="574"/>
      <c r="E680" s="574"/>
      <c r="F680" s="574"/>
    </row>
    <row r="681" spans="3:6">
      <c r="C681" s="574"/>
      <c r="E681" s="574"/>
      <c r="F681" s="574"/>
    </row>
    <row r="682" spans="3:6">
      <c r="C682" s="574"/>
      <c r="E682" s="574"/>
      <c r="F682" s="574"/>
    </row>
    <row r="683" spans="3:6">
      <c r="C683" s="574"/>
      <c r="E683" s="574"/>
      <c r="F683" s="574"/>
    </row>
    <row r="684" spans="3:6">
      <c r="C684" s="574"/>
      <c r="E684" s="574"/>
      <c r="F684" s="574"/>
    </row>
    <row r="685" spans="3:6">
      <c r="C685" s="574"/>
      <c r="E685" s="574"/>
      <c r="F685" s="574"/>
    </row>
    <row r="686" spans="3:6">
      <c r="C686" s="574"/>
      <c r="E686" s="574"/>
      <c r="F686" s="574"/>
    </row>
    <row r="687" spans="3:6">
      <c r="C687" s="574"/>
      <c r="E687" s="574"/>
      <c r="F687" s="574"/>
    </row>
    <row r="688" spans="3:6">
      <c r="C688" s="574"/>
      <c r="E688" s="574"/>
      <c r="F688" s="574"/>
    </row>
    <row r="689" spans="3:6">
      <c r="C689" s="574"/>
      <c r="E689" s="574"/>
      <c r="F689" s="574"/>
    </row>
    <row r="690" spans="3:6">
      <c r="C690" s="574"/>
      <c r="E690" s="574"/>
      <c r="F690" s="574"/>
    </row>
    <row r="691" spans="3:6">
      <c r="C691" s="574"/>
      <c r="E691" s="574"/>
      <c r="F691" s="574"/>
    </row>
    <row r="692" spans="3:6">
      <c r="C692" s="574"/>
      <c r="E692" s="574"/>
      <c r="F692" s="574"/>
    </row>
    <row r="693" spans="3:6">
      <c r="C693" s="574"/>
      <c r="E693" s="574"/>
      <c r="F693" s="574"/>
    </row>
    <row r="694" spans="3:6">
      <c r="C694" s="574"/>
      <c r="E694" s="574"/>
      <c r="F694" s="574"/>
    </row>
    <row r="695" spans="3:6">
      <c r="C695" s="574"/>
      <c r="E695" s="574"/>
      <c r="F695" s="574"/>
    </row>
    <row r="696" spans="3:6">
      <c r="C696" s="574"/>
      <c r="E696" s="574"/>
      <c r="F696" s="574"/>
    </row>
    <row r="697" spans="3:6">
      <c r="C697" s="574"/>
      <c r="E697" s="574"/>
      <c r="F697" s="574"/>
    </row>
    <row r="698" spans="3:6">
      <c r="C698" s="574"/>
      <c r="E698" s="574"/>
      <c r="F698" s="574"/>
    </row>
    <row r="699" spans="3:6">
      <c r="C699" s="574"/>
      <c r="E699" s="574"/>
      <c r="F699" s="574"/>
    </row>
    <row r="700" spans="3:6">
      <c r="C700" s="574"/>
      <c r="E700" s="574"/>
      <c r="F700" s="574"/>
    </row>
    <row r="701" spans="3:6">
      <c r="C701" s="574"/>
      <c r="E701" s="574"/>
      <c r="F701" s="574"/>
    </row>
    <row r="702" spans="3:6">
      <c r="C702" s="574"/>
      <c r="E702" s="574"/>
      <c r="F702" s="574"/>
    </row>
    <row r="703" spans="3:6">
      <c r="C703" s="574"/>
      <c r="E703" s="574"/>
      <c r="F703" s="574"/>
    </row>
    <row r="704" spans="3:6">
      <c r="C704" s="574"/>
      <c r="E704" s="574"/>
      <c r="F704" s="574"/>
    </row>
    <row r="705" spans="3:6">
      <c r="C705" s="574"/>
      <c r="E705" s="574"/>
      <c r="F705" s="574"/>
    </row>
    <row r="706" spans="3:6">
      <c r="C706" s="574"/>
      <c r="E706" s="574"/>
      <c r="F706" s="574"/>
    </row>
    <row r="707" spans="3:6">
      <c r="C707" s="574"/>
      <c r="E707" s="574"/>
      <c r="F707" s="574"/>
    </row>
    <row r="708" spans="3:6">
      <c r="C708" s="574"/>
      <c r="E708" s="574"/>
      <c r="F708" s="574"/>
    </row>
    <row r="709" spans="3:6">
      <c r="C709" s="574"/>
      <c r="E709" s="574"/>
      <c r="F709" s="574"/>
    </row>
    <row r="710" spans="3:6">
      <c r="C710" s="574"/>
      <c r="E710" s="574"/>
      <c r="F710" s="574"/>
    </row>
    <row r="711" spans="3:6">
      <c r="C711" s="574"/>
      <c r="E711" s="574"/>
      <c r="F711" s="574"/>
    </row>
    <row r="712" spans="3:6">
      <c r="C712" s="574"/>
      <c r="E712" s="574"/>
      <c r="F712" s="574"/>
    </row>
    <row r="713" spans="3:6">
      <c r="C713" s="574"/>
      <c r="E713" s="574"/>
      <c r="F713" s="574"/>
    </row>
    <row r="714" spans="3:6">
      <c r="C714" s="574"/>
      <c r="E714" s="574"/>
      <c r="F714" s="574"/>
    </row>
    <row r="715" spans="3:6">
      <c r="C715" s="574"/>
      <c r="E715" s="574"/>
      <c r="F715" s="574"/>
    </row>
    <row r="716" spans="3:6">
      <c r="C716" s="574"/>
      <c r="E716" s="574"/>
      <c r="F716" s="574"/>
    </row>
    <row r="717" spans="3:6">
      <c r="C717" s="574"/>
      <c r="E717" s="574"/>
      <c r="F717" s="574"/>
    </row>
    <row r="718" spans="3:6">
      <c r="C718" s="574"/>
      <c r="E718" s="574"/>
      <c r="F718" s="574"/>
    </row>
    <row r="719" spans="3:6">
      <c r="C719" s="574"/>
      <c r="E719" s="574"/>
      <c r="F719" s="574"/>
    </row>
    <row r="720" spans="3:6">
      <c r="C720" s="574"/>
      <c r="E720" s="574"/>
      <c r="F720" s="574"/>
    </row>
    <row r="721" spans="3:6">
      <c r="C721" s="574"/>
      <c r="E721" s="574"/>
      <c r="F721" s="574"/>
    </row>
    <row r="722" spans="3:6">
      <c r="C722" s="574"/>
      <c r="E722" s="574"/>
      <c r="F722" s="574"/>
    </row>
    <row r="723" spans="3:6">
      <c r="C723" s="574"/>
      <c r="E723" s="574"/>
      <c r="F723" s="574"/>
    </row>
    <row r="724" spans="3:6">
      <c r="C724" s="574"/>
      <c r="E724" s="574"/>
      <c r="F724" s="574"/>
    </row>
    <row r="725" spans="3:6">
      <c r="C725" s="574"/>
      <c r="E725" s="574"/>
      <c r="F725" s="574"/>
    </row>
    <row r="726" spans="3:6">
      <c r="C726" s="574"/>
      <c r="E726" s="574"/>
      <c r="F726" s="574"/>
    </row>
    <row r="727" spans="3:6">
      <c r="C727" s="574"/>
      <c r="E727" s="574"/>
      <c r="F727" s="574"/>
    </row>
    <row r="728" spans="3:6">
      <c r="C728" s="574"/>
      <c r="E728" s="574"/>
      <c r="F728" s="574"/>
    </row>
    <row r="729" spans="3:6">
      <c r="C729" s="574"/>
      <c r="E729" s="574"/>
      <c r="F729" s="574"/>
    </row>
    <row r="730" spans="3:6">
      <c r="C730" s="574"/>
      <c r="E730" s="574"/>
      <c r="F730" s="574"/>
    </row>
    <row r="731" spans="3:6">
      <c r="C731" s="574"/>
      <c r="E731" s="574"/>
      <c r="F731" s="574"/>
    </row>
    <row r="732" spans="3:6">
      <c r="C732" s="574"/>
      <c r="E732" s="574"/>
      <c r="F732" s="574"/>
    </row>
    <row r="733" spans="3:6">
      <c r="C733" s="574"/>
      <c r="E733" s="574"/>
      <c r="F733" s="574"/>
    </row>
    <row r="734" spans="3:6">
      <c r="C734" s="574"/>
      <c r="E734" s="574"/>
      <c r="F734" s="574"/>
    </row>
    <row r="735" spans="3:6">
      <c r="C735" s="574"/>
      <c r="E735" s="574"/>
      <c r="F735" s="574"/>
    </row>
    <row r="736" spans="3:6">
      <c r="C736" s="574"/>
      <c r="E736" s="574"/>
      <c r="F736" s="574"/>
    </row>
    <row r="737" spans="3:6">
      <c r="C737" s="574"/>
      <c r="E737" s="574"/>
      <c r="F737" s="574"/>
    </row>
    <row r="738" spans="3:6">
      <c r="C738" s="574"/>
      <c r="E738" s="574"/>
      <c r="F738" s="574"/>
    </row>
    <row r="739" spans="3:6">
      <c r="C739" s="574"/>
      <c r="E739" s="574"/>
      <c r="F739" s="574"/>
    </row>
    <row r="740" spans="3:6">
      <c r="C740" s="574"/>
      <c r="E740" s="574"/>
      <c r="F740" s="574"/>
    </row>
    <row r="741" spans="3:6">
      <c r="C741" s="574"/>
      <c r="E741" s="574"/>
      <c r="F741" s="574"/>
    </row>
    <row r="742" spans="3:6">
      <c r="C742" s="574"/>
      <c r="E742" s="574"/>
      <c r="F742" s="574"/>
    </row>
    <row r="743" spans="3:6">
      <c r="C743" s="574"/>
      <c r="E743" s="574"/>
      <c r="F743" s="574"/>
    </row>
    <row r="744" spans="3:6">
      <c r="C744" s="574"/>
      <c r="E744" s="574"/>
      <c r="F744" s="574"/>
    </row>
    <row r="745" spans="3:6">
      <c r="C745" s="574"/>
      <c r="E745" s="574"/>
      <c r="F745" s="574"/>
    </row>
    <row r="746" spans="3:6">
      <c r="C746" s="574"/>
      <c r="E746" s="574"/>
      <c r="F746" s="574"/>
    </row>
    <row r="747" spans="3:6">
      <c r="C747" s="574"/>
      <c r="E747" s="574"/>
      <c r="F747" s="574"/>
    </row>
    <row r="748" spans="3:6">
      <c r="C748" s="574"/>
      <c r="E748" s="574"/>
      <c r="F748" s="574"/>
    </row>
    <row r="749" spans="3:6">
      <c r="C749" s="574"/>
      <c r="E749" s="574"/>
      <c r="F749" s="574"/>
    </row>
    <row r="750" spans="3:6">
      <c r="C750" s="574"/>
      <c r="E750" s="574"/>
      <c r="F750" s="574"/>
    </row>
    <row r="751" spans="3:6">
      <c r="C751" s="574"/>
      <c r="E751" s="574"/>
      <c r="F751" s="574"/>
    </row>
    <row r="752" spans="3:6">
      <c r="C752" s="574"/>
      <c r="E752" s="574"/>
      <c r="F752" s="574"/>
    </row>
    <row r="753" spans="3:6">
      <c r="C753" s="574"/>
      <c r="E753" s="574"/>
      <c r="F753" s="574"/>
    </row>
    <row r="754" spans="3:6">
      <c r="C754" s="574"/>
      <c r="E754" s="574"/>
      <c r="F754" s="574"/>
    </row>
    <row r="755" spans="3:6">
      <c r="C755" s="574"/>
      <c r="E755" s="574"/>
      <c r="F755" s="574"/>
    </row>
    <row r="756" spans="3:6">
      <c r="C756" s="574"/>
      <c r="E756" s="574"/>
      <c r="F756" s="574"/>
    </row>
    <row r="757" spans="3:6">
      <c r="C757" s="574"/>
      <c r="E757" s="574"/>
      <c r="F757" s="574"/>
    </row>
    <row r="758" spans="3:6">
      <c r="C758" s="574"/>
      <c r="E758" s="574"/>
      <c r="F758" s="574"/>
    </row>
    <row r="759" spans="3:6">
      <c r="C759" s="574"/>
      <c r="E759" s="574"/>
      <c r="F759" s="574"/>
    </row>
    <row r="760" spans="3:6">
      <c r="C760" s="574"/>
      <c r="E760" s="574"/>
      <c r="F760" s="574"/>
    </row>
    <row r="761" spans="3:6">
      <c r="C761" s="574"/>
      <c r="E761" s="574"/>
      <c r="F761" s="574"/>
    </row>
    <row r="762" spans="3:6">
      <c r="C762" s="574"/>
      <c r="E762" s="574"/>
      <c r="F762" s="574"/>
    </row>
    <row r="763" spans="3:6">
      <c r="C763" s="574"/>
      <c r="E763" s="574"/>
      <c r="F763" s="574"/>
    </row>
    <row r="764" spans="3:6">
      <c r="C764" s="574"/>
      <c r="E764" s="574"/>
      <c r="F764" s="574"/>
    </row>
    <row r="765" spans="3:6">
      <c r="C765" s="574"/>
      <c r="E765" s="574"/>
      <c r="F765" s="574"/>
    </row>
    <row r="766" spans="3:6">
      <c r="C766" s="574"/>
      <c r="E766" s="574"/>
      <c r="F766" s="574"/>
    </row>
    <row r="767" spans="3:6">
      <c r="C767" s="574"/>
      <c r="E767" s="574"/>
      <c r="F767" s="574"/>
    </row>
    <row r="768" spans="3:6">
      <c r="C768" s="574"/>
      <c r="E768" s="574"/>
      <c r="F768" s="574"/>
    </row>
    <row r="769" spans="3:6">
      <c r="C769" s="574"/>
      <c r="E769" s="574"/>
      <c r="F769" s="574"/>
    </row>
    <row r="770" spans="3:6">
      <c r="C770" s="574"/>
      <c r="E770" s="574"/>
      <c r="F770" s="574"/>
    </row>
    <row r="771" spans="3:6">
      <c r="C771" s="574"/>
      <c r="E771" s="574"/>
      <c r="F771" s="574"/>
    </row>
    <row r="772" spans="3:6">
      <c r="C772" s="574"/>
      <c r="E772" s="574"/>
      <c r="F772" s="574"/>
    </row>
    <row r="773" spans="3:6">
      <c r="C773" s="574"/>
      <c r="E773" s="574"/>
      <c r="F773" s="574"/>
    </row>
    <row r="774" spans="3:6">
      <c r="C774" s="574"/>
      <c r="E774" s="574"/>
      <c r="F774" s="574"/>
    </row>
    <row r="775" spans="3:6">
      <c r="C775" s="574"/>
      <c r="E775" s="574"/>
      <c r="F775" s="574"/>
    </row>
    <row r="776" spans="3:6">
      <c r="C776" s="574"/>
      <c r="E776" s="574"/>
      <c r="F776" s="574"/>
    </row>
    <row r="777" spans="3:6">
      <c r="C777" s="574"/>
      <c r="E777" s="574"/>
      <c r="F777" s="574"/>
    </row>
    <row r="778" spans="3:6">
      <c r="C778" s="574"/>
      <c r="E778" s="574"/>
      <c r="F778" s="574"/>
    </row>
    <row r="779" spans="3:6">
      <c r="C779" s="574"/>
      <c r="E779" s="574"/>
      <c r="F779" s="574"/>
    </row>
    <row r="780" spans="3:6">
      <c r="C780" s="574"/>
      <c r="E780" s="574"/>
      <c r="F780" s="574"/>
    </row>
    <row r="781" spans="3:6">
      <c r="C781" s="574"/>
      <c r="E781" s="574"/>
      <c r="F781" s="574"/>
    </row>
    <row r="782" spans="3:6">
      <c r="C782" s="574"/>
      <c r="E782" s="574"/>
      <c r="F782" s="574"/>
    </row>
    <row r="783" spans="3:6">
      <c r="C783" s="574"/>
      <c r="E783" s="574"/>
      <c r="F783" s="574"/>
    </row>
    <row r="784" spans="3:6">
      <c r="C784" s="574"/>
      <c r="E784" s="574"/>
      <c r="F784" s="574"/>
    </row>
    <row r="785" spans="3:6">
      <c r="C785" s="574"/>
      <c r="E785" s="574"/>
      <c r="F785" s="574"/>
    </row>
    <row r="786" spans="3:6">
      <c r="C786" s="574"/>
      <c r="E786" s="574"/>
      <c r="F786" s="574"/>
    </row>
    <row r="787" spans="3:6">
      <c r="C787" s="574"/>
      <c r="E787" s="574"/>
      <c r="F787" s="574"/>
    </row>
    <row r="788" spans="3:6">
      <c r="C788" s="574"/>
      <c r="E788" s="574"/>
      <c r="F788" s="574"/>
    </row>
    <row r="789" spans="3:6">
      <c r="C789" s="574"/>
      <c r="E789" s="574"/>
      <c r="F789" s="574"/>
    </row>
    <row r="790" spans="3:6">
      <c r="C790" s="574"/>
      <c r="E790" s="574"/>
      <c r="F790" s="574"/>
    </row>
    <row r="791" spans="3:6">
      <c r="C791" s="574"/>
      <c r="E791" s="574"/>
      <c r="F791" s="574"/>
    </row>
    <row r="792" spans="3:6">
      <c r="C792" s="574"/>
      <c r="E792" s="574"/>
      <c r="F792" s="574"/>
    </row>
    <row r="793" spans="3:6">
      <c r="C793" s="574"/>
      <c r="E793" s="574"/>
      <c r="F793" s="574"/>
    </row>
    <row r="794" spans="3:6">
      <c r="C794" s="574"/>
      <c r="E794" s="574"/>
      <c r="F794" s="574"/>
    </row>
    <row r="795" spans="3:6">
      <c r="C795" s="574"/>
      <c r="E795" s="574"/>
      <c r="F795" s="574"/>
    </row>
    <row r="796" spans="3:6">
      <c r="C796" s="574"/>
      <c r="E796" s="574"/>
      <c r="F796" s="574"/>
    </row>
    <row r="797" spans="3:6">
      <c r="C797" s="574"/>
      <c r="E797" s="574"/>
      <c r="F797" s="574"/>
    </row>
    <row r="798" spans="3:6">
      <c r="C798" s="574"/>
      <c r="E798" s="574"/>
      <c r="F798" s="574"/>
    </row>
    <row r="799" spans="3:6">
      <c r="C799" s="574"/>
      <c r="E799" s="574"/>
      <c r="F799" s="574"/>
    </row>
    <row r="800" spans="3:6">
      <c r="C800" s="574"/>
      <c r="E800" s="574"/>
      <c r="F800" s="574"/>
    </row>
    <row r="801" spans="3:6">
      <c r="C801" s="574"/>
      <c r="E801" s="574"/>
      <c r="F801" s="574"/>
    </row>
    <row r="802" spans="3:6">
      <c r="C802" s="574"/>
      <c r="E802" s="574"/>
      <c r="F802" s="574"/>
    </row>
    <row r="803" spans="3:6">
      <c r="C803" s="574"/>
      <c r="E803" s="574"/>
      <c r="F803" s="574"/>
    </row>
    <row r="804" spans="3:6">
      <c r="C804" s="574"/>
      <c r="E804" s="574"/>
      <c r="F804" s="574"/>
    </row>
    <row r="805" spans="3:6">
      <c r="C805" s="574"/>
      <c r="E805" s="574"/>
      <c r="F805" s="574"/>
    </row>
    <row r="806" spans="3:6">
      <c r="C806" s="574"/>
      <c r="E806" s="574"/>
      <c r="F806" s="574"/>
    </row>
    <row r="807" spans="3:6">
      <c r="C807" s="574"/>
      <c r="E807" s="574"/>
      <c r="F807" s="574"/>
    </row>
    <row r="808" spans="3:6">
      <c r="C808" s="574"/>
      <c r="E808" s="574"/>
      <c r="F808" s="574"/>
    </row>
    <row r="809" spans="3:6">
      <c r="C809" s="574"/>
      <c r="E809" s="574"/>
      <c r="F809" s="574"/>
    </row>
    <row r="810" spans="3:6">
      <c r="C810" s="574"/>
      <c r="E810" s="574"/>
      <c r="F810" s="574"/>
    </row>
    <row r="811" spans="3:6">
      <c r="C811" s="574"/>
      <c r="E811" s="574"/>
      <c r="F811" s="574"/>
    </row>
    <row r="812" spans="3:6">
      <c r="C812" s="574"/>
      <c r="E812" s="574"/>
      <c r="F812" s="574"/>
    </row>
    <row r="813" spans="3:6">
      <c r="C813" s="574"/>
      <c r="E813" s="574"/>
      <c r="F813" s="574"/>
    </row>
    <row r="814" spans="3:6">
      <c r="C814" s="574"/>
      <c r="E814" s="574"/>
      <c r="F814" s="574"/>
    </row>
    <row r="815" spans="3:6">
      <c r="C815" s="574"/>
      <c r="E815" s="574"/>
      <c r="F815" s="574"/>
    </row>
    <row r="816" spans="3:6">
      <c r="C816" s="574"/>
      <c r="E816" s="574"/>
      <c r="F816" s="574"/>
    </row>
    <row r="817" spans="3:6">
      <c r="C817" s="574"/>
      <c r="E817" s="574"/>
      <c r="F817" s="574"/>
    </row>
    <row r="818" spans="3:6">
      <c r="C818" s="574"/>
      <c r="E818" s="574"/>
      <c r="F818" s="574"/>
    </row>
    <row r="819" spans="3:6">
      <c r="C819" s="574"/>
      <c r="E819" s="574"/>
      <c r="F819" s="574"/>
    </row>
    <row r="820" spans="3:6">
      <c r="C820" s="574"/>
      <c r="E820" s="574"/>
      <c r="F820" s="574"/>
    </row>
    <row r="821" spans="3:6">
      <c r="C821" s="574"/>
      <c r="E821" s="574"/>
      <c r="F821" s="574"/>
    </row>
    <row r="822" spans="3:6">
      <c r="C822" s="574"/>
      <c r="E822" s="574"/>
      <c r="F822" s="574"/>
    </row>
    <row r="823" spans="3:6">
      <c r="C823" s="574"/>
      <c r="E823" s="574"/>
      <c r="F823" s="574"/>
    </row>
    <row r="824" spans="3:6">
      <c r="C824" s="574"/>
      <c r="E824" s="574"/>
      <c r="F824" s="574"/>
    </row>
    <row r="825" spans="3:6">
      <c r="C825" s="574"/>
      <c r="E825" s="574"/>
      <c r="F825" s="574"/>
    </row>
    <row r="826" spans="3:6">
      <c r="C826" s="574"/>
      <c r="E826" s="574"/>
      <c r="F826" s="574"/>
    </row>
    <row r="827" spans="3:6">
      <c r="C827" s="574"/>
      <c r="E827" s="574"/>
      <c r="F827" s="574"/>
    </row>
    <row r="828" spans="3:6">
      <c r="C828" s="574"/>
      <c r="E828" s="574"/>
      <c r="F828" s="574"/>
    </row>
    <row r="829" spans="3:6">
      <c r="C829" s="574"/>
      <c r="E829" s="574"/>
      <c r="F829" s="574"/>
    </row>
    <row r="830" spans="3:6">
      <c r="C830" s="574"/>
      <c r="E830" s="574"/>
      <c r="F830" s="574"/>
    </row>
    <row r="831" spans="3:6">
      <c r="C831" s="574"/>
      <c r="E831" s="574"/>
      <c r="F831" s="574"/>
    </row>
    <row r="832" spans="3:6">
      <c r="C832" s="574"/>
      <c r="E832" s="574"/>
      <c r="F832" s="574"/>
    </row>
    <row r="833" spans="3:6">
      <c r="C833" s="574"/>
      <c r="E833" s="574"/>
      <c r="F833" s="574"/>
    </row>
    <row r="834" spans="3:6">
      <c r="C834" s="574"/>
      <c r="E834" s="574"/>
      <c r="F834" s="574"/>
    </row>
    <row r="835" spans="3:6">
      <c r="C835" s="574"/>
      <c r="E835" s="574"/>
      <c r="F835" s="574"/>
    </row>
    <row r="836" spans="3:6">
      <c r="C836" s="574"/>
      <c r="E836" s="574"/>
      <c r="F836" s="574"/>
    </row>
    <row r="837" spans="3:6">
      <c r="C837" s="574"/>
      <c r="E837" s="574"/>
      <c r="F837" s="574"/>
    </row>
    <row r="838" spans="3:6">
      <c r="C838" s="574"/>
      <c r="E838" s="574"/>
      <c r="F838" s="574"/>
    </row>
    <row r="839" spans="3:6">
      <c r="C839" s="574"/>
      <c r="E839" s="574"/>
      <c r="F839" s="574"/>
    </row>
    <row r="840" spans="3:6">
      <c r="C840" s="574"/>
      <c r="E840" s="574"/>
      <c r="F840" s="574"/>
    </row>
    <row r="841" spans="3:6">
      <c r="C841" s="574"/>
      <c r="E841" s="574"/>
      <c r="F841" s="574"/>
    </row>
    <row r="842" spans="3:6">
      <c r="C842" s="574"/>
      <c r="E842" s="574"/>
      <c r="F842" s="574"/>
    </row>
    <row r="843" spans="3:6">
      <c r="C843" s="574"/>
      <c r="E843" s="574"/>
      <c r="F843" s="574"/>
    </row>
    <row r="844" spans="3:6">
      <c r="C844" s="574"/>
      <c r="E844" s="574"/>
      <c r="F844" s="574"/>
    </row>
    <row r="845" spans="3:6">
      <c r="C845" s="574"/>
      <c r="E845" s="574"/>
      <c r="F845" s="574"/>
    </row>
    <row r="846" spans="3:6">
      <c r="C846" s="574"/>
      <c r="E846" s="574"/>
      <c r="F846" s="574"/>
    </row>
    <row r="847" spans="3:6">
      <c r="C847" s="574"/>
      <c r="E847" s="574"/>
      <c r="F847" s="574"/>
    </row>
    <row r="848" spans="3:6">
      <c r="C848" s="574"/>
      <c r="E848" s="574"/>
      <c r="F848" s="574"/>
    </row>
    <row r="849" spans="3:6">
      <c r="C849" s="574"/>
      <c r="E849" s="574"/>
      <c r="F849" s="574"/>
    </row>
    <row r="850" spans="3:6">
      <c r="C850" s="574"/>
      <c r="E850" s="574"/>
      <c r="F850" s="574"/>
    </row>
    <row r="851" spans="3:6">
      <c r="C851" s="574"/>
      <c r="E851" s="574"/>
      <c r="F851" s="574"/>
    </row>
    <row r="852" spans="3:6">
      <c r="C852" s="574"/>
      <c r="E852" s="574"/>
      <c r="F852" s="574"/>
    </row>
    <row r="853" spans="3:6">
      <c r="C853" s="574"/>
      <c r="E853" s="574"/>
      <c r="F853" s="574"/>
    </row>
    <row r="854" spans="3:6">
      <c r="C854" s="574"/>
      <c r="E854" s="574"/>
      <c r="F854" s="574"/>
    </row>
    <row r="855" spans="3:6">
      <c r="C855" s="574"/>
      <c r="E855" s="574"/>
      <c r="F855" s="574"/>
    </row>
    <row r="856" spans="3:6">
      <c r="C856" s="574"/>
      <c r="E856" s="574"/>
      <c r="F856" s="574"/>
    </row>
    <row r="857" spans="3:6">
      <c r="C857" s="574"/>
      <c r="E857" s="574"/>
      <c r="F857" s="574"/>
    </row>
    <row r="858" spans="3:6">
      <c r="C858" s="574"/>
      <c r="E858" s="574"/>
      <c r="F858" s="574"/>
    </row>
    <row r="859" spans="3:6">
      <c r="C859" s="574"/>
      <c r="E859" s="574"/>
      <c r="F859" s="574"/>
    </row>
    <row r="860" spans="3:6">
      <c r="C860" s="574"/>
      <c r="E860" s="574"/>
      <c r="F860" s="574"/>
    </row>
    <row r="861" spans="3:6">
      <c r="C861" s="574"/>
      <c r="E861" s="574"/>
      <c r="F861" s="574"/>
    </row>
    <row r="862" spans="3:6">
      <c r="C862" s="574"/>
      <c r="E862" s="574"/>
      <c r="F862" s="574"/>
    </row>
    <row r="863" spans="3:6">
      <c r="C863" s="574"/>
      <c r="E863" s="574"/>
      <c r="F863" s="574"/>
    </row>
    <row r="864" spans="3:6">
      <c r="C864" s="574"/>
      <c r="E864" s="574"/>
      <c r="F864" s="574"/>
    </row>
    <row r="865" spans="3:6">
      <c r="C865" s="574"/>
      <c r="E865" s="574"/>
      <c r="F865" s="574"/>
    </row>
    <row r="866" spans="3:6">
      <c r="C866" s="574"/>
      <c r="E866" s="574"/>
      <c r="F866" s="574"/>
    </row>
    <row r="867" spans="3:6">
      <c r="C867" s="574"/>
      <c r="E867" s="574"/>
      <c r="F867" s="574"/>
    </row>
    <row r="868" spans="3:6">
      <c r="C868" s="574"/>
      <c r="E868" s="574"/>
      <c r="F868" s="574"/>
    </row>
    <row r="869" spans="3:6">
      <c r="C869" s="574"/>
      <c r="E869" s="574"/>
      <c r="F869" s="574"/>
    </row>
    <row r="870" spans="3:6">
      <c r="C870" s="574"/>
      <c r="E870" s="574"/>
      <c r="F870" s="574"/>
    </row>
    <row r="871" spans="3:6">
      <c r="C871" s="574"/>
      <c r="E871" s="574"/>
      <c r="F871" s="574"/>
    </row>
    <row r="872" spans="3:6">
      <c r="C872" s="574"/>
      <c r="E872" s="574"/>
      <c r="F872" s="574"/>
    </row>
    <row r="873" spans="3:6">
      <c r="C873" s="574"/>
      <c r="E873" s="574"/>
      <c r="F873" s="574"/>
    </row>
    <row r="874" spans="3:6">
      <c r="C874" s="574"/>
      <c r="E874" s="574"/>
      <c r="F874" s="574"/>
    </row>
    <row r="875" spans="3:6">
      <c r="C875" s="574"/>
      <c r="E875" s="574"/>
      <c r="F875" s="574"/>
    </row>
    <row r="876" spans="3:6">
      <c r="C876" s="574"/>
      <c r="E876" s="574"/>
      <c r="F876" s="574"/>
    </row>
    <row r="877" spans="3:6">
      <c r="C877" s="574"/>
      <c r="E877" s="574"/>
      <c r="F877" s="574"/>
    </row>
    <row r="878" spans="3:6">
      <c r="C878" s="574"/>
      <c r="E878" s="574"/>
      <c r="F878" s="574"/>
    </row>
    <row r="879" spans="3:6">
      <c r="C879" s="574"/>
      <c r="E879" s="574"/>
      <c r="F879" s="574"/>
    </row>
    <row r="880" spans="3:6">
      <c r="C880" s="574"/>
      <c r="E880" s="574"/>
      <c r="F880" s="574"/>
    </row>
    <row r="881" spans="3:6">
      <c r="C881" s="574"/>
      <c r="E881" s="574"/>
      <c r="F881" s="574"/>
    </row>
    <row r="882" spans="3:6">
      <c r="C882" s="574"/>
      <c r="E882" s="574"/>
      <c r="F882" s="574"/>
    </row>
    <row r="883" spans="3:6">
      <c r="C883" s="574"/>
      <c r="E883" s="574"/>
      <c r="F883" s="574"/>
    </row>
    <row r="884" spans="3:6">
      <c r="C884" s="574"/>
      <c r="E884" s="574"/>
      <c r="F884" s="574"/>
    </row>
    <row r="885" spans="3:6">
      <c r="C885" s="574"/>
      <c r="E885" s="574"/>
      <c r="F885" s="574"/>
    </row>
    <row r="886" spans="3:6">
      <c r="C886" s="574"/>
      <c r="E886" s="574"/>
      <c r="F886" s="574"/>
    </row>
    <row r="887" spans="3:6">
      <c r="C887" s="574"/>
      <c r="E887" s="574"/>
      <c r="F887" s="574"/>
    </row>
    <row r="888" spans="3:6">
      <c r="C888" s="574"/>
      <c r="E888" s="574"/>
      <c r="F888" s="574"/>
    </row>
    <row r="889" spans="3:6">
      <c r="C889" s="574"/>
      <c r="E889" s="574"/>
      <c r="F889" s="574"/>
    </row>
    <row r="890" spans="3:6">
      <c r="C890" s="574"/>
      <c r="E890" s="574"/>
      <c r="F890" s="574"/>
    </row>
    <row r="891" spans="3:6">
      <c r="C891" s="574"/>
      <c r="E891" s="574"/>
      <c r="F891" s="574"/>
    </row>
    <row r="892" spans="3:6">
      <c r="C892" s="574"/>
      <c r="E892" s="574"/>
      <c r="F892" s="574"/>
    </row>
    <row r="893" spans="3:6">
      <c r="C893" s="574"/>
      <c r="E893" s="574"/>
      <c r="F893" s="574"/>
    </row>
    <row r="894" spans="3:6">
      <c r="C894" s="574"/>
      <c r="E894" s="574"/>
      <c r="F894" s="574"/>
    </row>
    <row r="895" spans="3:6">
      <c r="C895" s="574"/>
      <c r="E895" s="574"/>
      <c r="F895" s="574"/>
    </row>
    <row r="896" spans="3:6">
      <c r="C896" s="574"/>
      <c r="E896" s="574"/>
      <c r="F896" s="574"/>
    </row>
    <row r="897" spans="3:6">
      <c r="C897" s="574"/>
      <c r="E897" s="574"/>
      <c r="F897" s="574"/>
    </row>
    <row r="898" spans="3:6">
      <c r="C898" s="574"/>
      <c r="E898" s="574"/>
      <c r="F898" s="574"/>
    </row>
    <row r="899" spans="3:6">
      <c r="C899" s="574"/>
      <c r="E899" s="574"/>
      <c r="F899" s="574"/>
    </row>
    <row r="900" spans="3:6">
      <c r="C900" s="574"/>
      <c r="E900" s="574"/>
      <c r="F900" s="574"/>
    </row>
    <row r="901" spans="3:6">
      <c r="C901" s="574"/>
      <c r="E901" s="574"/>
      <c r="F901" s="574"/>
    </row>
    <row r="902" spans="3:6">
      <c r="C902" s="574"/>
      <c r="E902" s="574"/>
      <c r="F902" s="574"/>
    </row>
    <row r="903" spans="3:6">
      <c r="C903" s="574"/>
      <c r="E903" s="574"/>
      <c r="F903" s="574"/>
    </row>
    <row r="904" spans="3:6">
      <c r="C904" s="574"/>
      <c r="E904" s="574"/>
      <c r="F904" s="574"/>
    </row>
    <row r="905" spans="3:6">
      <c r="C905" s="574"/>
      <c r="E905" s="574"/>
      <c r="F905" s="574"/>
    </row>
    <row r="906" spans="3:6">
      <c r="C906" s="574"/>
      <c r="E906" s="574"/>
      <c r="F906" s="574"/>
    </row>
    <row r="907" spans="3:6">
      <c r="C907" s="574"/>
      <c r="E907" s="574"/>
      <c r="F907" s="574"/>
    </row>
    <row r="908" spans="3:6">
      <c r="C908" s="574"/>
      <c r="E908" s="574"/>
      <c r="F908" s="574"/>
    </row>
    <row r="909" spans="3:6">
      <c r="C909" s="574"/>
      <c r="E909" s="574"/>
      <c r="F909" s="574"/>
    </row>
    <row r="910" spans="3:6">
      <c r="C910" s="574"/>
      <c r="E910" s="574"/>
      <c r="F910" s="574"/>
    </row>
    <row r="911" spans="3:6">
      <c r="C911" s="574"/>
      <c r="E911" s="574"/>
      <c r="F911" s="574"/>
    </row>
    <row r="912" spans="3:6">
      <c r="C912" s="574"/>
      <c r="E912" s="574"/>
      <c r="F912" s="574"/>
    </row>
    <row r="913" spans="3:6">
      <c r="C913" s="574"/>
      <c r="E913" s="574"/>
      <c r="F913" s="574"/>
    </row>
    <row r="914" spans="3:6">
      <c r="C914" s="574"/>
      <c r="E914" s="574"/>
      <c r="F914" s="574"/>
    </row>
    <row r="915" spans="3:6">
      <c r="C915" s="574"/>
      <c r="E915" s="574"/>
      <c r="F915" s="574"/>
    </row>
    <row r="916" spans="3:6">
      <c r="C916" s="574"/>
      <c r="E916" s="574"/>
      <c r="F916" s="574"/>
    </row>
    <row r="917" spans="3:6">
      <c r="C917" s="574"/>
      <c r="E917" s="574"/>
      <c r="F917" s="574"/>
    </row>
    <row r="918" spans="3:6">
      <c r="C918" s="574"/>
      <c r="E918" s="574"/>
      <c r="F918" s="574"/>
    </row>
    <row r="919" spans="3:6">
      <c r="C919" s="574"/>
      <c r="E919" s="574"/>
      <c r="F919" s="574"/>
    </row>
    <row r="920" spans="3:6">
      <c r="C920" s="574"/>
      <c r="E920" s="574"/>
      <c r="F920" s="574"/>
    </row>
    <row r="921" spans="3:6">
      <c r="C921" s="574"/>
      <c r="E921" s="574"/>
      <c r="F921" s="574"/>
    </row>
    <row r="922" spans="3:6">
      <c r="C922" s="574"/>
      <c r="E922" s="574"/>
      <c r="F922" s="574"/>
    </row>
    <row r="923" spans="3:6">
      <c r="C923" s="574"/>
      <c r="E923" s="574"/>
      <c r="F923" s="574"/>
    </row>
  </sheetData>
  <mergeCells count="1">
    <mergeCell ref="A1:G1"/>
  </mergeCells>
  <pageMargins left="0.7" right="0.7" top="0.9" bottom="0.9" header="0.3" footer="0.3"/>
  <pageSetup scale="98" orientation="landscape" r:id="rId1"/>
  <headerFooter>
    <oddFooter>&amp;L&amp;10&amp;F
&amp;A&amp;R&amp;10Louisville Metro Government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267"/>
  <sheetViews>
    <sheetView tabSelected="1" topLeftCell="A31" zoomScale="95" zoomScaleNormal="95" zoomScaleSheetLayoutView="100" workbookViewId="0">
      <selection activeCell="J32" sqref="J32"/>
    </sheetView>
  </sheetViews>
  <sheetFormatPr defaultColWidth="8.90625" defaultRowHeight="15"/>
  <cols>
    <col min="1" max="1" width="9.81640625" customWidth="1"/>
    <col min="2" max="2" width="10.1796875" customWidth="1"/>
    <col min="3" max="3" width="12.36328125" customWidth="1"/>
    <col min="4" max="5" width="8.90625" customWidth="1"/>
    <col min="6" max="7" width="13.453125" customWidth="1"/>
    <col min="8" max="8" width="11.54296875" style="38" customWidth="1"/>
    <col min="9" max="9" width="11.54296875" style="13" customWidth="1"/>
    <col min="10" max="10" width="39.36328125" style="38" customWidth="1"/>
    <col min="11" max="31" width="8.90625" style="38"/>
  </cols>
  <sheetData>
    <row r="1" spans="1:31" s="38" customFormat="1" ht="15.6">
      <c r="A1" s="1215" t="str">
        <f ca="1">name</f>
        <v>RENTAL PRODUCTION APPLICATION</v>
      </c>
      <c r="B1" s="1215"/>
      <c r="C1" s="1215"/>
      <c r="D1" s="1215"/>
      <c r="E1" s="1215"/>
      <c r="F1" s="1215"/>
      <c r="G1" s="1215"/>
      <c r="H1" s="1215"/>
      <c r="I1" s="1215"/>
      <c r="J1" s="1215"/>
    </row>
    <row r="2" spans="1:31" s="38" customFormat="1" ht="22.8">
      <c r="A2" s="1246" t="s">
        <v>628</v>
      </c>
      <c r="B2" s="1246"/>
      <c r="C2" s="1246"/>
      <c r="D2" s="1246"/>
      <c r="E2" s="1246"/>
      <c r="F2" s="1246"/>
      <c r="G2" s="1246"/>
      <c r="H2" s="1246"/>
      <c r="I2" s="1246"/>
      <c r="J2" s="1246"/>
    </row>
    <row r="3" spans="1:31" s="38" customFormat="1" ht="15.6">
      <c r="A3" s="1215">
        <f>Project</f>
        <v>0</v>
      </c>
      <c r="B3" s="1215"/>
      <c r="C3" s="1215"/>
      <c r="D3" s="1215"/>
      <c r="E3" s="1215"/>
      <c r="F3" s="1215"/>
      <c r="G3" s="1215"/>
      <c r="H3" s="1215"/>
      <c r="I3" s="1215"/>
      <c r="J3" s="1215"/>
    </row>
    <row r="4" spans="1:31" s="39" customFormat="1" ht="13.2">
      <c r="B4" s="109"/>
      <c r="C4" s="109"/>
      <c r="D4" s="1247" t="s">
        <v>616</v>
      </c>
      <c r="E4" s="1247"/>
      <c r="I4" s="1248" t="s">
        <v>627</v>
      </c>
    </row>
    <row r="5" spans="1:31" s="65" customFormat="1" ht="14.4">
      <c r="A5" s="241" t="s">
        <v>357</v>
      </c>
      <c r="B5" s="634"/>
      <c r="C5" s="634"/>
      <c r="D5" s="912" t="s">
        <v>693</v>
      </c>
      <c r="E5" s="912" t="s">
        <v>694</v>
      </c>
      <c r="F5" s="1250" t="s">
        <v>492</v>
      </c>
      <c r="G5" s="1250"/>
      <c r="H5" s="1007" t="s">
        <v>360</v>
      </c>
      <c r="I5" s="1249"/>
      <c r="J5" s="1007" t="s">
        <v>636</v>
      </c>
    </row>
    <row r="6" spans="1:31" s="23" customFormat="1" ht="17.25" customHeight="1">
      <c r="A6" s="1227" t="s">
        <v>405</v>
      </c>
      <c r="B6" s="1228"/>
      <c r="C6" s="1229"/>
      <c r="D6" s="635">
        <v>0.1</v>
      </c>
      <c r="E6" s="245"/>
      <c r="F6" s="1224" t="s">
        <v>409</v>
      </c>
      <c r="G6" s="1225"/>
      <c r="H6" s="301">
        <v>0.05</v>
      </c>
      <c r="I6" s="673" t="str">
        <f>IF(H6=D6,"Matches",IF(H6&gt;D6,"Higher","Lower"))</f>
        <v>Lower</v>
      </c>
      <c r="J6" s="326"/>
      <c r="K6" s="65"/>
      <c r="L6" s="65"/>
      <c r="M6" s="65"/>
      <c r="N6" s="65"/>
      <c r="O6" s="65"/>
      <c r="P6" s="65"/>
      <c r="Q6" s="65"/>
      <c r="R6" s="65"/>
      <c r="S6" s="65"/>
      <c r="T6" s="65"/>
      <c r="U6" s="65"/>
      <c r="V6" s="65"/>
      <c r="W6" s="65"/>
      <c r="X6" s="65"/>
      <c r="Y6" s="65"/>
      <c r="Z6" s="65"/>
      <c r="AA6" s="65"/>
      <c r="AB6" s="65"/>
      <c r="AC6" s="65"/>
      <c r="AD6" s="65"/>
      <c r="AE6" s="65"/>
    </row>
    <row r="7" spans="1:31" s="23" customFormat="1" ht="17.25" customHeight="1">
      <c r="A7" s="1243" t="s">
        <v>355</v>
      </c>
      <c r="B7" s="1244"/>
      <c r="C7" s="1245"/>
      <c r="D7" s="636">
        <v>7.0000000000000007E-2</v>
      </c>
      <c r="E7" s="246"/>
      <c r="F7" s="1239" t="s">
        <v>353</v>
      </c>
      <c r="G7" s="1240"/>
      <c r="H7" s="301">
        <v>7.0000000000000007E-2</v>
      </c>
      <c r="I7" s="674" t="str">
        <f>IF(H7=D7,"Matches",IF(H7&gt;D7,"Higher","Lower"))</f>
        <v>Matches</v>
      </c>
      <c r="J7" s="326"/>
      <c r="K7" s="65"/>
      <c r="L7" s="65"/>
      <c r="M7" s="65"/>
      <c r="N7" s="65"/>
      <c r="O7" s="65"/>
      <c r="P7" s="65"/>
      <c r="Q7" s="65"/>
      <c r="R7" s="65"/>
      <c r="S7" s="65"/>
      <c r="T7" s="65"/>
      <c r="U7" s="65"/>
      <c r="V7" s="65"/>
      <c r="W7" s="65"/>
      <c r="X7" s="65"/>
      <c r="Y7" s="65"/>
      <c r="Z7" s="65"/>
      <c r="AA7" s="65"/>
      <c r="AB7" s="65"/>
      <c r="AC7" s="65"/>
      <c r="AD7" s="65"/>
      <c r="AE7" s="65"/>
    </row>
    <row r="8" spans="1:31" s="23" customFormat="1" ht="17.25" customHeight="1">
      <c r="A8" s="1230" t="s">
        <v>356</v>
      </c>
      <c r="B8" s="1231"/>
      <c r="C8" s="1232"/>
      <c r="D8" s="637">
        <v>7.0000000000000007E-2</v>
      </c>
      <c r="E8" s="244"/>
      <c r="F8" s="1241"/>
      <c r="G8" s="1242"/>
      <c r="H8" s="301">
        <v>7.0000000000000007E-2</v>
      </c>
      <c r="I8" s="675" t="str">
        <f>IF(H8=D8,"Matches",IF(H8&gt;D8,"Higher","Lower"))</f>
        <v>Matches</v>
      </c>
      <c r="J8" s="326"/>
      <c r="K8" s="65"/>
      <c r="L8" s="65"/>
      <c r="M8" s="65"/>
      <c r="N8" s="65"/>
      <c r="O8" s="65"/>
      <c r="P8" s="65"/>
      <c r="Q8" s="65"/>
      <c r="R8" s="65"/>
      <c r="S8" s="65"/>
      <c r="T8" s="65"/>
      <c r="U8" s="65"/>
      <c r="V8" s="65"/>
      <c r="W8" s="65"/>
      <c r="X8" s="65"/>
      <c r="Y8" s="65"/>
      <c r="Z8" s="65"/>
      <c r="AA8" s="65"/>
      <c r="AB8" s="65"/>
      <c r="AC8" s="65"/>
      <c r="AD8" s="65"/>
      <c r="AE8" s="65"/>
    </row>
    <row r="9" spans="1:31" s="65" customFormat="1" ht="25.5" customHeight="1">
      <c r="A9" s="241" t="s">
        <v>358</v>
      </c>
      <c r="B9" s="638"/>
      <c r="C9" s="638"/>
      <c r="D9" s="382" t="s">
        <v>163</v>
      </c>
      <c r="E9" s="382"/>
      <c r="F9" s="640"/>
      <c r="G9" s="640"/>
      <c r="H9" s="348"/>
      <c r="I9" s="676"/>
      <c r="J9" s="641"/>
    </row>
    <row r="10" spans="1:31" s="23" customFormat="1" ht="17.25" customHeight="1">
      <c r="A10" s="1227" t="s">
        <v>403</v>
      </c>
      <c r="B10" s="1228"/>
      <c r="C10" s="1229"/>
      <c r="D10" s="635">
        <v>0.02</v>
      </c>
      <c r="E10" s="245"/>
      <c r="F10" s="1239" t="s">
        <v>364</v>
      </c>
      <c r="G10" s="1240"/>
      <c r="H10" s="302">
        <v>0.02</v>
      </c>
      <c r="I10" s="674" t="str">
        <f>IF(H10=D10,"Matches",IF(H10&gt;D10,"Higher","Lower"))</f>
        <v>Matches</v>
      </c>
      <c r="J10" s="326"/>
      <c r="K10" s="65"/>
      <c r="L10" s="65"/>
      <c r="M10" s="65"/>
      <c r="N10" s="65"/>
      <c r="O10" s="65"/>
      <c r="P10" s="65"/>
      <c r="Q10" s="65"/>
      <c r="R10" s="65"/>
      <c r="S10" s="65"/>
      <c r="T10" s="65"/>
      <c r="U10" s="65"/>
      <c r="V10" s="65"/>
      <c r="W10" s="65"/>
      <c r="X10" s="65"/>
      <c r="Y10" s="65"/>
      <c r="Z10" s="65"/>
      <c r="AA10" s="65"/>
      <c r="AB10" s="65"/>
      <c r="AC10" s="65"/>
      <c r="AD10" s="65"/>
      <c r="AE10" s="65"/>
    </row>
    <row r="11" spans="1:31" s="23" customFormat="1" ht="17.25" customHeight="1">
      <c r="A11" s="1230" t="s">
        <v>404</v>
      </c>
      <c r="B11" s="1231"/>
      <c r="C11" s="1232"/>
      <c r="D11" s="637">
        <v>0.02</v>
      </c>
      <c r="E11" s="244"/>
      <c r="F11" s="1241"/>
      <c r="G11" s="1242"/>
      <c r="H11" s="302">
        <v>0.02</v>
      </c>
      <c r="I11" s="675" t="str">
        <f>IF(H11=D11,"Matches",IF(H11&gt;D11,"Higher","Lower"))</f>
        <v>Matches</v>
      </c>
      <c r="J11" s="326"/>
      <c r="K11" s="65"/>
      <c r="L11" s="65"/>
      <c r="M11" s="65"/>
      <c r="N11" s="65"/>
      <c r="O11" s="65"/>
      <c r="P11" s="65"/>
      <c r="Q11" s="65"/>
      <c r="R11" s="65"/>
      <c r="S11" s="65"/>
      <c r="T11" s="65"/>
      <c r="U11" s="65"/>
      <c r="V11" s="65"/>
      <c r="W11" s="65"/>
      <c r="X11" s="65"/>
      <c r="Y11" s="65"/>
      <c r="Z11" s="65"/>
      <c r="AA11" s="65"/>
      <c r="AB11" s="65"/>
      <c r="AC11" s="65"/>
      <c r="AD11" s="65"/>
      <c r="AE11" s="65"/>
    </row>
    <row r="12" spans="1:31" s="65" customFormat="1" ht="25.5" customHeight="1">
      <c r="A12" s="241" t="s">
        <v>359</v>
      </c>
      <c r="B12" s="638"/>
      <c r="C12" s="638"/>
      <c r="D12" s="382" t="s">
        <v>163</v>
      </c>
      <c r="E12" s="382"/>
      <c r="F12" s="640"/>
      <c r="G12" s="640"/>
      <c r="H12" s="642"/>
      <c r="I12" s="677"/>
      <c r="J12" s="644"/>
    </row>
    <row r="13" spans="1:31" s="23" customFormat="1" ht="17.25" customHeight="1">
      <c r="A13" s="327" t="s">
        <v>31</v>
      </c>
      <c r="B13" s="645"/>
      <c r="C13" s="242"/>
      <c r="D13" s="646">
        <v>0.03</v>
      </c>
      <c r="E13" s="250"/>
      <c r="F13" s="1239" t="s">
        <v>354</v>
      </c>
      <c r="G13" s="1240"/>
      <c r="H13" s="301">
        <v>0.03</v>
      </c>
      <c r="I13" s="673" t="str">
        <f>IF(H13=D13,"Matches",IF(H13&gt;D13,"Higher","Lower"))</f>
        <v>Matches</v>
      </c>
      <c r="J13" s="582"/>
      <c r="K13" s="65"/>
      <c r="L13" s="65"/>
      <c r="M13" s="65"/>
      <c r="N13" s="65"/>
      <c r="O13" s="65"/>
      <c r="P13" s="65"/>
      <c r="Q13" s="65"/>
      <c r="R13" s="65"/>
      <c r="S13" s="65"/>
      <c r="T13" s="65"/>
      <c r="U13" s="65"/>
      <c r="V13" s="65"/>
      <c r="W13" s="65"/>
      <c r="X13" s="65"/>
      <c r="Y13" s="65"/>
      <c r="Z13" s="65"/>
      <c r="AA13" s="65"/>
      <c r="AB13" s="65"/>
      <c r="AC13" s="65"/>
      <c r="AD13" s="65"/>
      <c r="AE13" s="65"/>
    </row>
    <row r="14" spans="1:31" s="23" customFormat="1" ht="17.25" customHeight="1">
      <c r="A14" s="328" t="s">
        <v>40</v>
      </c>
      <c r="B14" s="65"/>
      <c r="C14" s="239"/>
      <c r="D14" s="647">
        <v>0.03</v>
      </c>
      <c r="E14" s="249"/>
      <c r="F14" s="1257"/>
      <c r="G14" s="1258"/>
      <c r="H14" s="301">
        <v>0.03</v>
      </c>
      <c r="I14" s="674" t="str">
        <f>IF(H14=D14,"Matches",IF(H14&gt;D14,"Higher","Lower"))</f>
        <v>Matches</v>
      </c>
      <c r="J14" s="582"/>
      <c r="K14" s="65"/>
      <c r="L14" s="65"/>
      <c r="M14" s="65"/>
      <c r="N14" s="65"/>
      <c r="O14" s="65"/>
      <c r="P14" s="65"/>
      <c r="Q14" s="65"/>
      <c r="R14" s="65"/>
      <c r="S14" s="65"/>
      <c r="T14" s="65"/>
      <c r="U14" s="65"/>
      <c r="V14" s="65"/>
      <c r="W14" s="65"/>
      <c r="X14" s="65"/>
      <c r="Y14" s="65"/>
      <c r="Z14" s="65"/>
      <c r="AA14" s="65"/>
      <c r="AB14" s="65"/>
      <c r="AC14" s="65"/>
      <c r="AD14" s="65"/>
      <c r="AE14" s="65"/>
    </row>
    <row r="15" spans="1:31" s="23" customFormat="1" ht="17.25" customHeight="1">
      <c r="A15" s="328" t="s">
        <v>46</v>
      </c>
      <c r="B15" s="65"/>
      <c r="C15" s="239"/>
      <c r="D15" s="647">
        <v>0.03</v>
      </c>
      <c r="E15" s="249"/>
      <c r="F15" s="1257"/>
      <c r="G15" s="1258"/>
      <c r="H15" s="301">
        <v>0.03</v>
      </c>
      <c r="I15" s="674" t="str">
        <f>IF(H15=D15,"Matches",IF(H15&gt;D15,"Higher","Lower"))</f>
        <v>Matches</v>
      </c>
      <c r="J15" s="582"/>
      <c r="K15" s="65"/>
      <c r="L15" s="65"/>
      <c r="M15" s="65"/>
      <c r="N15" s="65"/>
      <c r="O15" s="65"/>
      <c r="P15" s="65"/>
      <c r="Q15" s="65"/>
      <c r="R15" s="65"/>
      <c r="S15" s="65"/>
      <c r="T15" s="65"/>
      <c r="U15" s="65"/>
      <c r="V15" s="65"/>
      <c r="W15" s="65"/>
      <c r="X15" s="65"/>
      <c r="Y15" s="65"/>
      <c r="Z15" s="65"/>
      <c r="AA15" s="65"/>
      <c r="AB15" s="65"/>
      <c r="AC15" s="65"/>
      <c r="AD15" s="65"/>
      <c r="AE15" s="65"/>
    </row>
    <row r="16" spans="1:31" s="23" customFormat="1" ht="17.25" customHeight="1">
      <c r="A16" s="329" t="s">
        <v>51</v>
      </c>
      <c r="B16" s="348"/>
      <c r="C16" s="240"/>
      <c r="D16" s="648">
        <v>0.03</v>
      </c>
      <c r="E16" s="248"/>
      <c r="F16" s="1241"/>
      <c r="G16" s="1242"/>
      <c r="H16" s="301">
        <v>0.03</v>
      </c>
      <c r="I16" s="675" t="str">
        <f>IF(H16=D16,"Matches",IF(H16&gt;D16,"Higher","Lower"))</f>
        <v>Matches</v>
      </c>
      <c r="J16" s="582"/>
      <c r="K16" s="65"/>
      <c r="L16" s="65"/>
      <c r="M16" s="65"/>
      <c r="N16" s="65"/>
      <c r="O16" s="65"/>
      <c r="P16" s="65"/>
      <c r="Q16" s="65"/>
      <c r="R16" s="65"/>
      <c r="S16" s="65"/>
      <c r="T16" s="65"/>
      <c r="U16" s="65"/>
      <c r="V16" s="65"/>
      <c r="W16" s="65"/>
      <c r="X16" s="65"/>
      <c r="Y16" s="65"/>
      <c r="Z16" s="65"/>
      <c r="AA16" s="65"/>
      <c r="AB16" s="65"/>
      <c r="AC16" s="65"/>
      <c r="AD16" s="65"/>
      <c r="AE16" s="65"/>
    </row>
    <row r="17" spans="1:31" s="65" customFormat="1" ht="25.5" customHeight="1">
      <c r="A17" s="241" t="s">
        <v>1</v>
      </c>
      <c r="B17" s="638"/>
      <c r="C17" s="638"/>
      <c r="D17" s="382" t="s">
        <v>163</v>
      </c>
      <c r="E17" s="382"/>
      <c r="F17" s="1259" t="e">
        <f>#REF!</f>
        <v>#REF!</v>
      </c>
      <c r="G17" s="1259"/>
      <c r="I17" s="676"/>
      <c r="J17" s="650"/>
    </row>
    <row r="18" spans="1:31" s="23" customFormat="1" ht="17.25" customHeight="1">
      <c r="A18" s="1227" t="s">
        <v>232</v>
      </c>
      <c r="B18" s="1228"/>
      <c r="C18" s="1229"/>
      <c r="D18" s="651">
        <v>325</v>
      </c>
      <c r="E18" s="245"/>
      <c r="F18" s="1239" t="s">
        <v>361</v>
      </c>
      <c r="G18" s="1240"/>
      <c r="H18" s="303">
        <v>325</v>
      </c>
      <c r="I18" s="674" t="str">
        <f>IF(H18=D18,"Matches",IF(H18&gt;D18,"Higher","Lower"))</f>
        <v>Matches</v>
      </c>
      <c r="J18" s="326"/>
      <c r="K18" s="65"/>
      <c r="L18" s="65"/>
      <c r="M18" s="65"/>
      <c r="N18" s="65"/>
      <c r="O18" s="65"/>
      <c r="P18" s="65"/>
      <c r="Q18" s="65"/>
      <c r="R18" s="65"/>
      <c r="S18" s="65"/>
      <c r="T18" s="65"/>
      <c r="U18" s="65"/>
      <c r="V18" s="65"/>
      <c r="W18" s="65"/>
      <c r="X18" s="65"/>
      <c r="Y18" s="65"/>
      <c r="Z18" s="65"/>
      <c r="AA18" s="65"/>
      <c r="AB18" s="65"/>
      <c r="AC18" s="65"/>
      <c r="AD18" s="65"/>
      <c r="AE18" s="65"/>
    </row>
    <row r="19" spans="1:31" s="23" customFormat="1" ht="17.25" customHeight="1">
      <c r="A19" s="1230" t="s">
        <v>254</v>
      </c>
      <c r="B19" s="1231"/>
      <c r="C19" s="1232"/>
      <c r="D19" s="652">
        <v>275</v>
      </c>
      <c r="E19" s="244"/>
      <c r="F19" s="1241"/>
      <c r="G19" s="1242"/>
      <c r="H19" s="303">
        <v>275</v>
      </c>
      <c r="I19" s="675" t="str">
        <f>IF(H19=D19,"Matches",IF(H19&gt;D19,"Higher","Lower"))</f>
        <v>Matches</v>
      </c>
      <c r="J19" s="326"/>
      <c r="K19" s="65"/>
      <c r="L19" s="65"/>
      <c r="M19" s="65"/>
      <c r="N19" s="65"/>
      <c r="O19" s="65"/>
      <c r="P19" s="65"/>
      <c r="Q19" s="65"/>
      <c r="R19" s="65"/>
      <c r="S19" s="65"/>
      <c r="T19" s="65"/>
      <c r="U19" s="65"/>
      <c r="V19" s="65"/>
      <c r="W19" s="65"/>
      <c r="X19" s="65"/>
      <c r="Y19" s="65"/>
      <c r="Z19" s="65"/>
      <c r="AA19" s="65"/>
      <c r="AB19" s="65"/>
      <c r="AC19" s="65"/>
      <c r="AD19" s="65"/>
      <c r="AE19" s="65"/>
    </row>
    <row r="20" spans="1:31" s="65" customFormat="1" ht="25.5" customHeight="1">
      <c r="A20" s="241" t="s">
        <v>252</v>
      </c>
      <c r="B20" s="638"/>
      <c r="C20" s="638"/>
      <c r="D20" s="382" t="s">
        <v>163</v>
      </c>
      <c r="E20" s="382" t="s">
        <v>250</v>
      </c>
      <c r="F20" s="640"/>
      <c r="G20" s="649"/>
      <c r="I20" s="676"/>
      <c r="J20" s="650"/>
    </row>
    <row r="21" spans="1:31" s="23" customFormat="1" ht="17.25" customHeight="1">
      <c r="A21" s="1227" t="s">
        <v>35</v>
      </c>
      <c r="B21" s="1228"/>
      <c r="C21" s="1229"/>
      <c r="D21" s="250"/>
      <c r="E21" s="635">
        <v>8.5000000000000006E-2</v>
      </c>
      <c r="F21" s="1224" t="s">
        <v>363</v>
      </c>
      <c r="G21" s="1225"/>
      <c r="H21" s="653">
        <f>IFERROR('4)Expenses'!G15,0.00000000000000001)</f>
        <v>0</v>
      </c>
      <c r="I21" s="673" t="str">
        <f>IF(H21=E21,"Matches",IF(H21&gt;E21,"Higher","Lower"))</f>
        <v>Lower</v>
      </c>
      <c r="J21" s="326"/>
      <c r="K21" s="65"/>
      <c r="L21" s="65"/>
      <c r="M21" s="65"/>
      <c r="N21" s="65"/>
      <c r="O21" s="65"/>
      <c r="P21" s="65"/>
      <c r="Q21" s="65"/>
      <c r="R21" s="65"/>
      <c r="S21" s="65"/>
      <c r="T21" s="65"/>
      <c r="U21" s="65"/>
      <c r="V21" s="65"/>
      <c r="W21" s="65"/>
      <c r="X21" s="65"/>
      <c r="Y21" s="65"/>
      <c r="Z21" s="65"/>
      <c r="AA21" s="65"/>
      <c r="AB21" s="65"/>
      <c r="AC21" s="65"/>
      <c r="AD21" s="65"/>
      <c r="AE21" s="65"/>
    </row>
    <row r="22" spans="1:31" s="23" customFormat="1" ht="17.25" customHeight="1">
      <c r="A22" s="1243" t="s">
        <v>257</v>
      </c>
      <c r="B22" s="1244"/>
      <c r="C22" s="1245"/>
      <c r="D22" s="654">
        <v>2500</v>
      </c>
      <c r="E22" s="655">
        <v>4500</v>
      </c>
      <c r="F22" s="1224" t="s">
        <v>381</v>
      </c>
      <c r="G22" s="1225"/>
      <c r="H22" s="679">
        <f>'4)Expenses'!D48</f>
        <v>0</v>
      </c>
      <c r="I22" s="913" t="str">
        <f>IF(K22=FALSE,"Out of Range","Within Range")</f>
        <v>Out of Range</v>
      </c>
      <c r="J22" s="326"/>
      <c r="K22" s="680" t="b">
        <f>AND(H22&lt;=E22,H22&gt;=D22)</f>
        <v>0</v>
      </c>
      <c r="L22" s="65"/>
      <c r="M22" s="65"/>
      <c r="N22" s="65"/>
      <c r="O22" s="65"/>
      <c r="P22" s="65"/>
      <c r="Q22" s="65"/>
      <c r="R22" s="65"/>
      <c r="S22" s="65"/>
      <c r="T22" s="65"/>
      <c r="U22" s="65"/>
      <c r="V22" s="65"/>
      <c r="W22" s="65"/>
      <c r="X22" s="65"/>
      <c r="Y22" s="65"/>
      <c r="Z22" s="65"/>
      <c r="AA22" s="65"/>
      <c r="AB22" s="65"/>
      <c r="AC22" s="65"/>
      <c r="AD22" s="65"/>
      <c r="AE22" s="65"/>
    </row>
    <row r="23" spans="1:31" s="23" customFormat="1" ht="17.25" customHeight="1">
      <c r="A23" s="1230" t="s">
        <v>258</v>
      </c>
      <c r="B23" s="1231"/>
      <c r="C23" s="1232"/>
      <c r="D23" s="656">
        <v>250</v>
      </c>
      <c r="E23" s="244"/>
      <c r="F23" s="1224" t="s">
        <v>381</v>
      </c>
      <c r="G23" s="1225"/>
      <c r="H23" s="657">
        <f>IFERROR('4)Expenses'!D40,"")</f>
        <v>0</v>
      </c>
      <c r="I23" s="675" t="str">
        <f>IF(H23=D23,"Matches",IF(H23&gt;D23,"Higher","Lower"))</f>
        <v>Lower</v>
      </c>
      <c r="J23" s="326"/>
      <c r="K23" s="65"/>
      <c r="L23" s="65"/>
      <c r="M23" s="65"/>
      <c r="N23" s="65"/>
      <c r="O23" s="65"/>
      <c r="P23" s="65"/>
      <c r="Q23" s="65"/>
      <c r="R23" s="65"/>
      <c r="S23" s="65"/>
      <c r="T23" s="65"/>
      <c r="U23" s="65"/>
      <c r="V23" s="65"/>
      <c r="W23" s="65"/>
      <c r="X23" s="65"/>
      <c r="Y23" s="65"/>
      <c r="Z23" s="65"/>
      <c r="AA23" s="65"/>
      <c r="AB23" s="65"/>
      <c r="AC23" s="65"/>
      <c r="AD23" s="65"/>
      <c r="AE23" s="65"/>
    </row>
    <row r="24" spans="1:31" s="65" customFormat="1" ht="25.5" customHeight="1">
      <c r="A24" s="241" t="s">
        <v>253</v>
      </c>
      <c r="B24" s="1008"/>
      <c r="C24" s="658"/>
      <c r="D24" s="382" t="s">
        <v>163</v>
      </c>
      <c r="E24" s="382" t="s">
        <v>250</v>
      </c>
      <c r="F24" s="659"/>
      <c r="G24" s="659"/>
      <c r="H24" s="642"/>
      <c r="I24" s="678"/>
      <c r="J24" s="644"/>
    </row>
    <row r="25" spans="1:31" s="23" customFormat="1" ht="17.25" customHeight="1">
      <c r="A25" s="1227" t="s">
        <v>16</v>
      </c>
      <c r="B25" s="1228"/>
      <c r="C25" s="1229"/>
      <c r="D25" s="250"/>
      <c r="E25" s="681">
        <v>0.12</v>
      </c>
      <c r="F25" s="1224" t="s">
        <v>695</v>
      </c>
      <c r="G25" s="1225"/>
      <c r="H25" s="660" t="str">
        <f>'2)Sources &amp; Uses'!J94</f>
        <v>N/A</v>
      </c>
      <c r="I25" s="673" t="str">
        <f>IF(H25=E25,"Matches",IF(H25&gt;E25,"Higher","Lower"))</f>
        <v>Higher</v>
      </c>
      <c r="J25" s="326"/>
      <c r="K25" s="65"/>
      <c r="L25" s="65"/>
      <c r="M25" s="65"/>
      <c r="N25" s="65"/>
      <c r="O25" s="65"/>
      <c r="P25" s="65"/>
      <c r="Q25" s="65"/>
      <c r="R25" s="65"/>
      <c r="S25" s="65"/>
      <c r="T25" s="65"/>
      <c r="U25" s="65"/>
      <c r="V25" s="65"/>
      <c r="W25" s="65"/>
      <c r="X25" s="65"/>
      <c r="Y25" s="65"/>
      <c r="Z25" s="65"/>
      <c r="AA25" s="65"/>
      <c r="AB25" s="65"/>
      <c r="AC25" s="65"/>
      <c r="AD25" s="65"/>
      <c r="AE25" s="65"/>
    </row>
    <row r="26" spans="1:31" s="23" customFormat="1" ht="17.25" customHeight="1">
      <c r="A26" s="1243" t="s">
        <v>408</v>
      </c>
      <c r="B26" s="1244"/>
      <c r="C26" s="1245"/>
      <c r="D26" s="661">
        <f>'4)Expenses'!C48/2+'2)Sources &amp; Uses'!K20/2</f>
        <v>0</v>
      </c>
      <c r="E26" s="246"/>
      <c r="F26" s="1224" t="s">
        <v>382</v>
      </c>
      <c r="G26" s="1225"/>
      <c r="H26" s="662">
        <f>'2)Sources &amp; Uses'!I124</f>
        <v>0</v>
      </c>
      <c r="I26" s="674" t="str">
        <f>IF(H26=D26,"Matches",IF(H26&gt;D26,"Higher","Lower"))</f>
        <v>Matches</v>
      </c>
      <c r="J26" s="326"/>
      <c r="K26" s="65"/>
      <c r="L26" s="65"/>
      <c r="M26" s="65"/>
      <c r="N26" s="65"/>
      <c r="O26" s="65"/>
      <c r="P26" s="65"/>
      <c r="Q26" s="65"/>
      <c r="R26" s="65"/>
      <c r="S26" s="65"/>
      <c r="T26" s="65"/>
      <c r="U26" s="65"/>
      <c r="V26" s="65"/>
      <c r="W26" s="65"/>
      <c r="X26" s="65"/>
      <c r="Y26" s="65"/>
      <c r="Z26" s="65"/>
      <c r="AA26" s="65"/>
      <c r="AB26" s="65"/>
      <c r="AC26" s="65"/>
      <c r="AD26" s="65"/>
      <c r="AE26" s="65"/>
    </row>
    <row r="27" spans="1:31" s="23" customFormat="1" ht="17.25" customHeight="1">
      <c r="A27" s="1243" t="s">
        <v>557</v>
      </c>
      <c r="B27" s="1244"/>
      <c r="C27" s="1245"/>
      <c r="D27" s="246"/>
      <c r="E27" s="663">
        <v>0.15</v>
      </c>
      <c r="F27" s="1226" t="s">
        <v>362</v>
      </c>
      <c r="G27" s="1225"/>
      <c r="H27" s="660" t="str">
        <f>'2)Sources &amp; Uses'!$J$155</f>
        <v>N/A</v>
      </c>
      <c r="I27" s="674" t="str">
        <f>IF(H27=E27,"Matches",IF(H27&gt;E27,"Higher","Lower"))</f>
        <v>Higher</v>
      </c>
      <c r="J27" s="326"/>
      <c r="K27" s="65"/>
      <c r="L27" s="65"/>
      <c r="M27" s="65"/>
      <c r="N27" s="65"/>
      <c r="O27" s="65"/>
      <c r="P27" s="65"/>
      <c r="Q27" s="65"/>
      <c r="R27" s="65"/>
      <c r="S27" s="65"/>
      <c r="T27" s="65"/>
      <c r="U27" s="65"/>
      <c r="V27" s="65"/>
      <c r="W27" s="65"/>
      <c r="X27" s="65"/>
      <c r="Y27" s="65"/>
      <c r="Z27" s="65"/>
      <c r="AA27" s="65"/>
      <c r="AB27" s="65"/>
      <c r="AC27" s="65"/>
      <c r="AD27" s="65"/>
      <c r="AE27" s="65"/>
    </row>
    <row r="28" spans="1:31" s="23" customFormat="1" ht="17.25" customHeight="1">
      <c r="A28" s="1230" t="s">
        <v>556</v>
      </c>
      <c r="B28" s="1231"/>
      <c r="C28" s="1232"/>
      <c r="D28" s="244"/>
      <c r="E28" s="664">
        <v>0.2</v>
      </c>
      <c r="F28" s="1226" t="s">
        <v>362</v>
      </c>
      <c r="G28" s="1225"/>
      <c r="H28" s="660" t="str">
        <f>H27</f>
        <v>N/A</v>
      </c>
      <c r="I28" s="675" t="str">
        <f>IF(H28=E28,"Matches",IF(H28&gt;E28,"Higher","Lower"))</f>
        <v>Higher</v>
      </c>
      <c r="J28" s="326"/>
      <c r="K28" s="65"/>
      <c r="L28" s="65"/>
      <c r="M28" s="65"/>
      <c r="N28" s="65"/>
      <c r="O28" s="65"/>
      <c r="P28" s="65"/>
      <c r="Q28" s="65"/>
      <c r="R28" s="65"/>
      <c r="S28" s="65"/>
      <c r="T28" s="65"/>
      <c r="U28" s="65"/>
      <c r="V28" s="65"/>
      <c r="W28" s="65"/>
      <c r="X28" s="65"/>
      <c r="Y28" s="65"/>
      <c r="Z28" s="65"/>
      <c r="AA28" s="65"/>
      <c r="AB28" s="65"/>
      <c r="AC28" s="65"/>
      <c r="AD28" s="65"/>
      <c r="AE28" s="65"/>
    </row>
    <row r="29" spans="1:31" s="65" customFormat="1" ht="25.5" customHeight="1">
      <c r="A29" s="241" t="s">
        <v>441</v>
      </c>
      <c r="B29" s="638"/>
      <c r="C29" s="638"/>
      <c r="D29" s="382" t="s">
        <v>163</v>
      </c>
      <c r="E29" s="382"/>
      <c r="F29" s="640"/>
      <c r="G29" s="640"/>
      <c r="H29" s="642"/>
      <c r="I29" s="678"/>
      <c r="J29" s="644"/>
    </row>
    <row r="30" spans="1:31" s="23" customFormat="1" ht="17.25" customHeight="1">
      <c r="A30" s="1227" t="s">
        <v>251</v>
      </c>
      <c r="B30" s="1228"/>
      <c r="C30" s="1229"/>
      <c r="D30" s="665">
        <v>1.25</v>
      </c>
      <c r="E30" s="243"/>
      <c r="F30" s="1239" t="s">
        <v>440</v>
      </c>
      <c r="G30" s="1240"/>
      <c r="H30" s="666" t="str">
        <f>'5)Operating Proforma'!E39</f>
        <v>n/a</v>
      </c>
      <c r="I30" s="673" t="str">
        <f>IF(H30=D30,"Matches",IF(H30&gt;D30,"Higher","Lower"))</f>
        <v>Higher</v>
      </c>
      <c r="J30" s="326"/>
      <c r="K30" s="65"/>
      <c r="L30" s="65"/>
      <c r="M30" s="65"/>
      <c r="N30" s="65"/>
      <c r="O30" s="65"/>
      <c r="P30" s="65"/>
      <c r="Q30" s="65"/>
      <c r="R30" s="65"/>
      <c r="S30" s="65"/>
      <c r="T30" s="65"/>
      <c r="U30" s="65"/>
      <c r="V30" s="65"/>
      <c r="W30" s="65"/>
      <c r="X30" s="65"/>
      <c r="Y30" s="65"/>
      <c r="Z30" s="65"/>
      <c r="AA30" s="65"/>
      <c r="AB30" s="65"/>
      <c r="AC30" s="65"/>
      <c r="AD30" s="65"/>
      <c r="AE30" s="65"/>
    </row>
    <row r="31" spans="1:31" s="23" customFormat="1" ht="17.25" customHeight="1">
      <c r="A31" s="1230" t="s">
        <v>350</v>
      </c>
      <c r="B31" s="1231"/>
      <c r="C31" s="1232"/>
      <c r="D31" s="667">
        <v>1</v>
      </c>
      <c r="E31" s="247"/>
      <c r="F31" s="1241"/>
      <c r="G31" s="1242"/>
      <c r="H31" s="668">
        <f>MIN('5)Operating Proforma'!E39:S39)</f>
        <v>0</v>
      </c>
      <c r="I31" s="675" t="str">
        <f>IF(H31=D31,"Matches",IF(H31&gt;D31,"Higher","Lower"))</f>
        <v>Lower</v>
      </c>
      <c r="J31" s="326"/>
      <c r="K31" s="65"/>
      <c r="L31" s="65"/>
      <c r="M31" s="65"/>
      <c r="N31" s="65"/>
      <c r="O31" s="65"/>
      <c r="P31" s="65"/>
      <c r="Q31" s="65"/>
      <c r="R31" s="65"/>
      <c r="S31" s="65"/>
      <c r="T31" s="65"/>
      <c r="U31" s="65"/>
      <c r="V31" s="65"/>
      <c r="W31" s="65"/>
      <c r="X31" s="65"/>
      <c r="Y31" s="65"/>
      <c r="Z31" s="65"/>
      <c r="AA31" s="65"/>
      <c r="AB31" s="65"/>
      <c r="AC31" s="65"/>
      <c r="AD31" s="65"/>
      <c r="AE31" s="65"/>
    </row>
    <row r="32" spans="1:31" s="65" customFormat="1" ht="25.5" customHeight="1">
      <c r="A32" s="632" t="s">
        <v>248</v>
      </c>
      <c r="B32" s="634"/>
      <c r="C32" s="634"/>
      <c r="D32" s="639"/>
      <c r="E32" s="639"/>
      <c r="F32" s="669"/>
      <c r="G32" s="669"/>
      <c r="I32" s="643"/>
      <c r="J32" s="650"/>
    </row>
    <row r="33" spans="1:28" s="672" customFormat="1" ht="18" customHeight="1">
      <c r="A33" s="1253" t="s">
        <v>629</v>
      </c>
      <c r="B33" s="1254"/>
      <c r="C33" s="1254"/>
      <c r="D33" s="1254"/>
      <c r="E33" s="1255"/>
      <c r="F33" s="1251"/>
      <c r="G33" s="1252"/>
      <c r="H33" s="670" t="str">
        <f>IF('5)Operating Proforma'!C54&gt;0,"No","Yes")</f>
        <v>Yes</v>
      </c>
      <c r="I33" s="350"/>
      <c r="J33" s="532"/>
      <c r="K33" s="671"/>
      <c r="L33" s="671"/>
      <c r="M33" s="671"/>
      <c r="N33" s="671"/>
      <c r="O33" s="671"/>
      <c r="P33" s="671"/>
      <c r="Q33" s="671"/>
      <c r="R33" s="671"/>
      <c r="S33" s="671"/>
      <c r="T33" s="671"/>
      <c r="U33" s="671"/>
      <c r="V33" s="671"/>
      <c r="W33" s="671"/>
      <c r="X33" s="671"/>
      <c r="Y33" s="671"/>
      <c r="Z33" s="671"/>
      <c r="AA33" s="671"/>
      <c r="AB33" s="671"/>
    </row>
    <row r="34" spans="1:28" s="65" customFormat="1" ht="3.75" customHeight="1">
      <c r="I34" s="140"/>
    </row>
    <row r="35" spans="1:28" s="65" customFormat="1" ht="13.8">
      <c r="J35" s="140"/>
    </row>
    <row r="36" spans="1:28" s="65" customFormat="1" ht="14.25" customHeight="1" thickBot="1">
      <c r="A36" s="300" t="s">
        <v>555</v>
      </c>
      <c r="J36" s="140"/>
    </row>
    <row r="37" spans="1:28" s="65" customFormat="1" ht="15.75" customHeight="1" thickBot="1">
      <c r="A37" s="950" t="s">
        <v>718</v>
      </c>
      <c r="H37" s="1216" t="s">
        <v>637</v>
      </c>
      <c r="I37" s="1217"/>
    </row>
    <row r="38" spans="1:28" s="65" customFormat="1" ht="39.6">
      <c r="A38" s="1233" t="s">
        <v>538</v>
      </c>
      <c r="B38" s="1234"/>
      <c r="C38" s="1234"/>
      <c r="D38" s="1235"/>
      <c r="E38" s="1236" t="s">
        <v>781</v>
      </c>
      <c r="F38" s="1237"/>
      <c r="G38" s="1238"/>
      <c r="H38" s="946" t="s">
        <v>642</v>
      </c>
      <c r="I38" s="949" t="s">
        <v>643</v>
      </c>
    </row>
    <row r="39" spans="1:28" s="39" customFormat="1" ht="26.4">
      <c r="A39" s="943" t="s">
        <v>73</v>
      </c>
      <c r="B39" s="1009" t="s">
        <v>521</v>
      </c>
      <c r="C39" s="1009" t="s">
        <v>522</v>
      </c>
      <c r="D39" s="944" t="s">
        <v>540</v>
      </c>
      <c r="E39" s="943" t="s">
        <v>73</v>
      </c>
      <c r="F39" s="1218" t="s">
        <v>615</v>
      </c>
      <c r="G39" s="1219"/>
      <c r="H39" s="947">
        <v>1</v>
      </c>
      <c r="I39" s="936">
        <v>40500</v>
      </c>
    </row>
    <row r="40" spans="1:28" s="942" customFormat="1" ht="17.25" customHeight="1">
      <c r="A40" s="937" t="s">
        <v>143</v>
      </c>
      <c r="B40" s="941">
        <v>843</v>
      </c>
      <c r="C40" s="941">
        <v>976</v>
      </c>
      <c r="D40" s="936">
        <v>976</v>
      </c>
      <c r="E40" s="937" t="s">
        <v>143</v>
      </c>
      <c r="F40" s="1220">
        <v>173011</v>
      </c>
      <c r="G40" s="1221"/>
      <c r="H40" s="947">
        <v>2</v>
      </c>
      <c r="I40" s="936">
        <v>46320</v>
      </c>
    </row>
    <row r="41" spans="1:28" s="942" customFormat="1" ht="17.25" customHeight="1">
      <c r="A41" s="937" t="s">
        <v>714</v>
      </c>
      <c r="B41" s="941">
        <v>904</v>
      </c>
      <c r="C41" s="941">
        <v>1077</v>
      </c>
      <c r="D41" s="936">
        <v>1077</v>
      </c>
      <c r="E41" s="937" t="s">
        <v>714</v>
      </c>
      <c r="F41" s="1220">
        <v>198331</v>
      </c>
      <c r="G41" s="1221"/>
      <c r="H41" s="947">
        <v>3</v>
      </c>
      <c r="I41" s="936">
        <v>52080</v>
      </c>
    </row>
    <row r="42" spans="1:28" s="942" customFormat="1" ht="17.25" customHeight="1">
      <c r="A42" s="937" t="s">
        <v>715</v>
      </c>
      <c r="B42" s="941">
        <v>1085</v>
      </c>
      <c r="C42" s="941">
        <v>1301</v>
      </c>
      <c r="D42" s="936">
        <v>1301</v>
      </c>
      <c r="E42" s="937" t="s">
        <v>715</v>
      </c>
      <c r="F42" s="1220">
        <v>241176</v>
      </c>
      <c r="G42" s="1221"/>
      <c r="H42" s="947">
        <v>4</v>
      </c>
      <c r="I42" s="936">
        <v>57840</v>
      </c>
    </row>
    <row r="43" spans="1:28" s="942" customFormat="1" ht="17.25" customHeight="1">
      <c r="A43" s="937" t="s">
        <v>716</v>
      </c>
      <c r="B43" s="941">
        <v>1253</v>
      </c>
      <c r="C43" s="941">
        <v>1595</v>
      </c>
      <c r="D43" s="938">
        <v>1701</v>
      </c>
      <c r="E43" s="937" t="s">
        <v>716</v>
      </c>
      <c r="F43" s="1220">
        <v>312005</v>
      </c>
      <c r="G43" s="1221"/>
      <c r="H43" s="947">
        <v>5</v>
      </c>
      <c r="I43" s="936">
        <v>62520</v>
      </c>
    </row>
    <row r="44" spans="1:28" s="942" customFormat="1" ht="17.25" customHeight="1" thickBot="1">
      <c r="A44" s="939" t="s">
        <v>717</v>
      </c>
      <c r="B44" s="945">
        <v>1398</v>
      </c>
      <c r="C44" s="945">
        <v>1760</v>
      </c>
      <c r="D44" s="940">
        <v>1955</v>
      </c>
      <c r="E44" s="939" t="s">
        <v>717</v>
      </c>
      <c r="F44" s="1222">
        <v>342482</v>
      </c>
      <c r="G44" s="1223"/>
      <c r="H44" s="948">
        <v>6</v>
      </c>
      <c r="I44" s="940">
        <v>67140</v>
      </c>
    </row>
    <row r="45" spans="1:28" s="103" customFormat="1" ht="17.25" customHeight="1">
      <c r="B45" s="1256" t="s">
        <v>546</v>
      </c>
      <c r="C45" s="1256"/>
      <c r="D45" s="910" t="s">
        <v>784</v>
      </c>
      <c r="F45" s="377" t="s">
        <v>546</v>
      </c>
      <c r="G45" s="934" t="s">
        <v>796</v>
      </c>
      <c r="H45" s="377" t="s">
        <v>546</v>
      </c>
      <c r="I45" s="911" t="s">
        <v>784</v>
      </c>
    </row>
    <row r="46" spans="1:28" s="65" customFormat="1" ht="21.75" customHeight="1">
      <c r="A46" s="914"/>
      <c r="J46" s="140"/>
    </row>
    <row r="47" spans="1:28" s="38" customFormat="1">
      <c r="G47" s="65"/>
      <c r="H47" s="65"/>
      <c r="I47" s="65"/>
      <c r="J47" s="450"/>
    </row>
    <row r="48" spans="1:28" s="38" customFormat="1">
      <c r="J48" s="450"/>
    </row>
    <row r="49" spans="5:10" s="38" customFormat="1">
      <c r="J49" s="450"/>
    </row>
    <row r="50" spans="5:10" s="38" customFormat="1">
      <c r="J50" s="450"/>
    </row>
    <row r="51" spans="5:10" s="38" customFormat="1">
      <c r="J51" s="450"/>
    </row>
    <row r="52" spans="5:10" s="38" customFormat="1">
      <c r="J52" s="450"/>
    </row>
    <row r="53" spans="5:10" s="38" customFormat="1">
      <c r="J53" s="450"/>
    </row>
    <row r="54" spans="5:10" s="38" customFormat="1"/>
    <row r="55" spans="5:10" s="38" customFormat="1">
      <c r="E55" s="909"/>
      <c r="J55" s="103"/>
    </row>
    <row r="56" spans="5:10" s="38" customFormat="1">
      <c r="J56" s="103"/>
    </row>
    <row r="57" spans="5:10" s="38" customFormat="1">
      <c r="J57" s="500"/>
    </row>
    <row r="58" spans="5:10" s="38" customFormat="1">
      <c r="J58" s="500"/>
    </row>
    <row r="59" spans="5:10" s="38" customFormat="1">
      <c r="J59" s="500"/>
    </row>
    <row r="60" spans="5:10" s="38" customFormat="1">
      <c r="J60" s="500"/>
    </row>
    <row r="61" spans="5:10" s="38" customFormat="1">
      <c r="J61" s="500"/>
    </row>
    <row r="62" spans="5:10" s="38" customFormat="1">
      <c r="J62" s="500"/>
    </row>
    <row r="63" spans="5:10" s="38" customFormat="1">
      <c r="J63" s="379"/>
    </row>
    <row r="64" spans="5:10" s="38" customFormat="1">
      <c r="J64" s="379"/>
    </row>
    <row r="65" spans="10:10" s="38" customFormat="1">
      <c r="J65" s="103"/>
    </row>
    <row r="66" spans="10:10" s="38" customFormat="1">
      <c r="J66" s="501"/>
    </row>
    <row r="67" spans="10:10" s="38" customFormat="1">
      <c r="J67" s="379"/>
    </row>
    <row r="68" spans="10:10" s="38" customFormat="1">
      <c r="J68" s="219"/>
    </row>
    <row r="69" spans="10:10" s="38" customFormat="1">
      <c r="J69" s="433"/>
    </row>
    <row r="70" spans="10:10" s="38" customFormat="1">
      <c r="J70" s="219"/>
    </row>
    <row r="71" spans="10:10" s="38" customFormat="1">
      <c r="J71" s="219"/>
    </row>
    <row r="72" spans="10:10" s="38" customFormat="1">
      <c r="J72" s="219"/>
    </row>
    <row r="73" spans="10:10" s="38" customFormat="1">
      <c r="J73" s="219"/>
    </row>
    <row r="74" spans="10:10" s="38" customFormat="1">
      <c r="J74" s="219"/>
    </row>
    <row r="75" spans="10:10" s="38" customFormat="1">
      <c r="J75" s="432"/>
    </row>
    <row r="76" spans="10:10" s="38" customFormat="1">
      <c r="J76" s="434"/>
    </row>
    <row r="77" spans="10:10" s="38" customFormat="1">
      <c r="J77" s="219"/>
    </row>
    <row r="78" spans="10:10" s="38" customFormat="1">
      <c r="J78" s="103"/>
    </row>
    <row r="79" spans="10:10" s="38" customFormat="1">
      <c r="J79" s="39"/>
    </row>
    <row r="80" spans="10:10" s="38" customFormat="1">
      <c r="J80" s="39"/>
    </row>
    <row r="81" spans="10:10" s="38" customFormat="1">
      <c r="J81" s="39"/>
    </row>
    <row r="82" spans="10:10" s="38" customFormat="1">
      <c r="J82" s="39"/>
    </row>
    <row r="83" spans="10:10" s="38" customFormat="1">
      <c r="J83" s="39"/>
    </row>
    <row r="84" spans="10:10" s="38" customFormat="1">
      <c r="J84" s="39"/>
    </row>
    <row r="85" spans="10:10" s="38" customFormat="1">
      <c r="J85" s="379"/>
    </row>
    <row r="86" spans="10:10" s="38" customFormat="1">
      <c r="J86" s="379"/>
    </row>
    <row r="87" spans="10:10" s="38" customFormat="1">
      <c r="J87" s="379"/>
    </row>
    <row r="88" spans="10:10" s="38" customFormat="1">
      <c r="J88" s="378"/>
    </row>
    <row r="89" spans="10:10" s="38" customFormat="1">
      <c r="J89" s="379"/>
    </row>
    <row r="90" spans="10:10" s="38" customFormat="1">
      <c r="J90" s="379"/>
    </row>
    <row r="91" spans="10:10" s="38" customFormat="1">
      <c r="J91" s="379"/>
    </row>
    <row r="92" spans="10:10" s="38" customFormat="1">
      <c r="J92" s="379"/>
    </row>
    <row r="93" spans="10:10" s="38" customFormat="1">
      <c r="J93" s="435"/>
    </row>
    <row r="94" spans="10:10" s="38" customFormat="1">
      <c r="J94" s="435"/>
    </row>
    <row r="95" spans="10:10" s="38" customFormat="1">
      <c r="J95" s="436"/>
    </row>
    <row r="96" spans="10:10" s="38" customFormat="1">
      <c r="J96" s="436"/>
    </row>
    <row r="97" spans="9:10" s="38" customFormat="1">
      <c r="J97" s="437"/>
    </row>
    <row r="98" spans="9:10" s="38" customFormat="1">
      <c r="J98" s="39"/>
    </row>
    <row r="99" spans="9:10" s="38" customFormat="1">
      <c r="J99" s="379"/>
    </row>
    <row r="100" spans="9:10" s="38" customFormat="1">
      <c r="J100" s="103"/>
    </row>
    <row r="101" spans="9:10" s="38" customFormat="1">
      <c r="J101" s="103"/>
    </row>
    <row r="102" spans="9:10" s="38" customFormat="1"/>
    <row r="103" spans="9:10" s="38" customFormat="1"/>
    <row r="104" spans="9:10" s="38" customFormat="1"/>
    <row r="105" spans="9:10" s="38" customFormat="1"/>
    <row r="106" spans="9:10" s="38" customFormat="1"/>
    <row r="107" spans="9:10" s="38" customFormat="1"/>
    <row r="108" spans="9:10" s="38" customFormat="1"/>
    <row r="109" spans="9:10" s="38" customFormat="1"/>
    <row r="110" spans="9:10" s="38" customFormat="1">
      <c r="I110" s="450"/>
    </row>
    <row r="111" spans="9:10" s="38" customFormat="1">
      <c r="I111" s="450"/>
    </row>
    <row r="112" spans="9:10" s="38" customFormat="1">
      <c r="I112" s="450"/>
    </row>
    <row r="113" spans="9:9" s="38" customFormat="1">
      <c r="I113" s="450"/>
    </row>
    <row r="114" spans="9:9" s="38" customFormat="1">
      <c r="I114" s="450"/>
    </row>
    <row r="115" spans="9:9" s="38" customFormat="1">
      <c r="I115" s="450"/>
    </row>
    <row r="116" spans="9:9" s="38" customFormat="1">
      <c r="I116" s="450"/>
    </row>
    <row r="117" spans="9:9" s="38" customFormat="1">
      <c r="I117" s="450"/>
    </row>
    <row r="118" spans="9:9" s="38" customFormat="1">
      <c r="I118" s="450"/>
    </row>
    <row r="119" spans="9:9" s="38" customFormat="1">
      <c r="I119" s="450"/>
    </row>
    <row r="120" spans="9:9" s="38" customFormat="1">
      <c r="I120" s="450"/>
    </row>
    <row r="121" spans="9:9" s="38" customFormat="1">
      <c r="I121" s="450"/>
    </row>
    <row r="122" spans="9:9" s="38" customFormat="1">
      <c r="I122" s="450"/>
    </row>
    <row r="123" spans="9:9" s="38" customFormat="1">
      <c r="I123" s="450"/>
    </row>
    <row r="124" spans="9:9" s="38" customFormat="1">
      <c r="I124" s="450"/>
    </row>
    <row r="125" spans="9:9" s="38" customFormat="1">
      <c r="I125" s="450"/>
    </row>
    <row r="126" spans="9:9" s="38" customFormat="1">
      <c r="I126" s="450"/>
    </row>
    <row r="127" spans="9:9" s="38" customFormat="1">
      <c r="I127" s="450"/>
    </row>
    <row r="128" spans="9:9" s="38" customFormat="1">
      <c r="I128" s="450"/>
    </row>
    <row r="129" spans="9:9" s="38" customFormat="1">
      <c r="I129" s="450"/>
    </row>
    <row r="130" spans="9:9" s="38" customFormat="1">
      <c r="I130" s="450"/>
    </row>
    <row r="131" spans="9:9" s="38" customFormat="1">
      <c r="I131" s="450"/>
    </row>
    <row r="132" spans="9:9" s="38" customFormat="1">
      <c r="I132" s="450"/>
    </row>
    <row r="133" spans="9:9" s="38" customFormat="1">
      <c r="I133" s="450"/>
    </row>
    <row r="134" spans="9:9" s="38" customFormat="1">
      <c r="I134" s="450"/>
    </row>
    <row r="135" spans="9:9" s="38" customFormat="1">
      <c r="I135" s="450"/>
    </row>
    <row r="136" spans="9:9" s="38" customFormat="1">
      <c r="I136" s="450"/>
    </row>
    <row r="137" spans="9:9" s="38" customFormat="1">
      <c r="I137" s="450"/>
    </row>
    <row r="138" spans="9:9" s="38" customFormat="1">
      <c r="I138" s="450"/>
    </row>
    <row r="139" spans="9:9" s="38" customFormat="1">
      <c r="I139" s="450"/>
    </row>
    <row r="140" spans="9:9" s="38" customFormat="1">
      <c r="I140" s="450"/>
    </row>
    <row r="141" spans="9:9" s="38" customFormat="1">
      <c r="I141" s="450"/>
    </row>
    <row r="142" spans="9:9" s="38" customFormat="1">
      <c r="I142" s="450"/>
    </row>
    <row r="143" spans="9:9" s="38" customFormat="1">
      <c r="I143" s="450"/>
    </row>
    <row r="144" spans="9:9" s="38" customFormat="1">
      <c r="I144" s="450"/>
    </row>
    <row r="145" spans="9:9" s="38" customFormat="1">
      <c r="I145" s="450"/>
    </row>
    <row r="146" spans="9:9" s="38" customFormat="1">
      <c r="I146" s="450"/>
    </row>
    <row r="147" spans="9:9" s="38" customFormat="1">
      <c r="I147" s="450"/>
    </row>
    <row r="148" spans="9:9" s="38" customFormat="1">
      <c r="I148" s="450"/>
    </row>
    <row r="149" spans="9:9" s="38" customFormat="1">
      <c r="I149" s="450"/>
    </row>
    <row r="150" spans="9:9" s="38" customFormat="1">
      <c r="I150" s="450"/>
    </row>
    <row r="151" spans="9:9" s="38" customFormat="1">
      <c r="I151" s="450"/>
    </row>
    <row r="152" spans="9:9" s="38" customFormat="1">
      <c r="I152" s="450"/>
    </row>
    <row r="153" spans="9:9" s="38" customFormat="1">
      <c r="I153" s="450"/>
    </row>
    <row r="154" spans="9:9" s="38" customFormat="1">
      <c r="I154" s="450"/>
    </row>
    <row r="155" spans="9:9" s="38" customFormat="1">
      <c r="I155" s="450"/>
    </row>
    <row r="156" spans="9:9" s="38" customFormat="1">
      <c r="I156" s="450"/>
    </row>
    <row r="157" spans="9:9" s="38" customFormat="1">
      <c r="I157" s="450"/>
    </row>
    <row r="158" spans="9:9" s="38" customFormat="1">
      <c r="I158" s="450"/>
    </row>
    <row r="159" spans="9:9" s="38" customFormat="1">
      <c r="I159" s="450"/>
    </row>
    <row r="160" spans="9:9" s="38" customFormat="1">
      <c r="I160" s="450"/>
    </row>
    <row r="161" spans="9:9" s="38" customFormat="1">
      <c r="I161" s="450"/>
    </row>
    <row r="162" spans="9:9" s="38" customFormat="1">
      <c r="I162" s="450"/>
    </row>
    <row r="163" spans="9:9" s="38" customFormat="1">
      <c r="I163" s="450"/>
    </row>
    <row r="164" spans="9:9" s="38" customFormat="1">
      <c r="I164" s="450"/>
    </row>
    <row r="165" spans="9:9" s="38" customFormat="1">
      <c r="I165" s="450"/>
    </row>
    <row r="166" spans="9:9" s="38" customFormat="1">
      <c r="I166" s="450"/>
    </row>
    <row r="167" spans="9:9" s="38" customFormat="1">
      <c r="I167" s="450"/>
    </row>
    <row r="168" spans="9:9" s="38" customFormat="1">
      <c r="I168" s="450"/>
    </row>
    <row r="169" spans="9:9" s="38" customFormat="1">
      <c r="I169" s="450"/>
    </row>
    <row r="170" spans="9:9" s="38" customFormat="1">
      <c r="I170" s="450"/>
    </row>
    <row r="171" spans="9:9" s="38" customFormat="1">
      <c r="I171" s="450"/>
    </row>
    <row r="172" spans="9:9" s="38" customFormat="1">
      <c r="I172" s="450"/>
    </row>
    <row r="173" spans="9:9" s="38" customFormat="1">
      <c r="I173" s="450"/>
    </row>
    <row r="174" spans="9:9" s="38" customFormat="1">
      <c r="I174" s="450"/>
    </row>
    <row r="175" spans="9:9" s="38" customFormat="1">
      <c r="I175" s="450"/>
    </row>
    <row r="176" spans="9:9" s="38" customFormat="1">
      <c r="I176" s="450"/>
    </row>
    <row r="177" spans="9:9" s="38" customFormat="1">
      <c r="I177" s="450"/>
    </row>
    <row r="178" spans="9:9" s="38" customFormat="1">
      <c r="I178" s="450"/>
    </row>
    <row r="179" spans="9:9" s="38" customFormat="1">
      <c r="I179" s="450"/>
    </row>
    <row r="180" spans="9:9" s="38" customFormat="1">
      <c r="I180" s="450"/>
    </row>
    <row r="181" spans="9:9" s="38" customFormat="1">
      <c r="I181" s="450"/>
    </row>
    <row r="182" spans="9:9" s="38" customFormat="1">
      <c r="I182" s="450"/>
    </row>
    <row r="183" spans="9:9" s="38" customFormat="1">
      <c r="I183" s="450"/>
    </row>
    <row r="184" spans="9:9" s="38" customFormat="1">
      <c r="I184" s="450"/>
    </row>
    <row r="185" spans="9:9" s="38" customFormat="1">
      <c r="I185" s="450"/>
    </row>
    <row r="186" spans="9:9" s="38" customFormat="1">
      <c r="I186" s="450"/>
    </row>
    <row r="187" spans="9:9" s="38" customFormat="1">
      <c r="I187" s="450"/>
    </row>
    <row r="188" spans="9:9" s="38" customFormat="1">
      <c r="I188" s="450"/>
    </row>
    <row r="189" spans="9:9" s="38" customFormat="1">
      <c r="I189" s="450"/>
    </row>
    <row r="190" spans="9:9" s="38" customFormat="1">
      <c r="I190" s="450"/>
    </row>
    <row r="191" spans="9:9" s="38" customFormat="1">
      <c r="I191" s="450"/>
    </row>
    <row r="192" spans="9:9" s="38" customFormat="1">
      <c r="I192" s="450"/>
    </row>
    <row r="193" spans="9:9" s="38" customFormat="1">
      <c r="I193" s="450"/>
    </row>
    <row r="194" spans="9:9" s="38" customFormat="1">
      <c r="I194" s="450"/>
    </row>
    <row r="195" spans="9:9" s="38" customFormat="1">
      <c r="I195" s="450"/>
    </row>
    <row r="196" spans="9:9" s="38" customFormat="1">
      <c r="I196" s="450"/>
    </row>
    <row r="197" spans="9:9" s="38" customFormat="1">
      <c r="I197" s="450"/>
    </row>
    <row r="198" spans="9:9" s="38" customFormat="1">
      <c r="I198" s="450"/>
    </row>
    <row r="199" spans="9:9" s="38" customFormat="1">
      <c r="I199" s="450"/>
    </row>
    <row r="200" spans="9:9" s="38" customFormat="1">
      <c r="I200" s="450"/>
    </row>
    <row r="201" spans="9:9" s="38" customFormat="1">
      <c r="I201" s="450"/>
    </row>
    <row r="202" spans="9:9" s="38" customFormat="1">
      <c r="I202" s="450"/>
    </row>
    <row r="203" spans="9:9" s="38" customFormat="1">
      <c r="I203" s="450"/>
    </row>
    <row r="204" spans="9:9" s="38" customFormat="1">
      <c r="I204" s="450"/>
    </row>
    <row r="205" spans="9:9" s="38" customFormat="1">
      <c r="I205" s="450"/>
    </row>
    <row r="206" spans="9:9" s="38" customFormat="1">
      <c r="I206" s="450"/>
    </row>
    <row r="207" spans="9:9" s="38" customFormat="1">
      <c r="I207" s="450"/>
    </row>
    <row r="208" spans="9:9" s="38" customFormat="1">
      <c r="I208" s="450"/>
    </row>
    <row r="209" spans="9:9" s="38" customFormat="1">
      <c r="I209" s="450"/>
    </row>
    <row r="210" spans="9:9" s="38" customFormat="1">
      <c r="I210" s="450"/>
    </row>
    <row r="211" spans="9:9" s="38" customFormat="1">
      <c r="I211" s="450"/>
    </row>
    <row r="212" spans="9:9" s="38" customFormat="1">
      <c r="I212" s="450"/>
    </row>
    <row r="213" spans="9:9" s="38" customFormat="1">
      <c r="I213" s="450"/>
    </row>
    <row r="214" spans="9:9" s="38" customFormat="1">
      <c r="I214" s="450"/>
    </row>
    <row r="215" spans="9:9" s="38" customFormat="1">
      <c r="I215" s="450"/>
    </row>
    <row r="216" spans="9:9" s="38" customFormat="1">
      <c r="I216" s="450"/>
    </row>
    <row r="217" spans="9:9" s="38" customFormat="1">
      <c r="I217" s="450"/>
    </row>
    <row r="218" spans="9:9" s="38" customFormat="1">
      <c r="I218" s="450"/>
    </row>
    <row r="219" spans="9:9" s="38" customFormat="1">
      <c r="I219" s="450"/>
    </row>
    <row r="220" spans="9:9" s="38" customFormat="1">
      <c r="I220" s="450"/>
    </row>
    <row r="221" spans="9:9" s="38" customFormat="1">
      <c r="I221" s="450"/>
    </row>
    <row r="222" spans="9:9" s="38" customFormat="1">
      <c r="I222" s="450"/>
    </row>
    <row r="223" spans="9:9" s="38" customFormat="1">
      <c r="I223" s="450"/>
    </row>
    <row r="224" spans="9:9" s="38" customFormat="1">
      <c r="I224" s="450"/>
    </row>
    <row r="225" spans="9:9" s="38" customFormat="1">
      <c r="I225" s="450"/>
    </row>
    <row r="226" spans="9:9" s="38" customFormat="1">
      <c r="I226" s="450"/>
    </row>
    <row r="227" spans="9:9" s="38" customFormat="1">
      <c r="I227" s="450"/>
    </row>
    <row r="228" spans="9:9" s="38" customFormat="1">
      <c r="I228" s="450"/>
    </row>
    <row r="229" spans="9:9" s="38" customFormat="1">
      <c r="I229" s="450"/>
    </row>
    <row r="230" spans="9:9" s="38" customFormat="1">
      <c r="I230" s="450"/>
    </row>
    <row r="231" spans="9:9" s="38" customFormat="1">
      <c r="I231" s="450"/>
    </row>
    <row r="232" spans="9:9" s="38" customFormat="1">
      <c r="I232" s="450"/>
    </row>
    <row r="233" spans="9:9" s="38" customFormat="1">
      <c r="I233" s="450"/>
    </row>
    <row r="234" spans="9:9" s="38" customFormat="1">
      <c r="I234" s="450"/>
    </row>
    <row r="235" spans="9:9" s="38" customFormat="1">
      <c r="I235" s="450"/>
    </row>
    <row r="236" spans="9:9" s="38" customFormat="1">
      <c r="I236" s="450"/>
    </row>
    <row r="237" spans="9:9" s="38" customFormat="1">
      <c r="I237" s="450"/>
    </row>
    <row r="238" spans="9:9" s="38" customFormat="1">
      <c r="I238" s="450"/>
    </row>
    <row r="239" spans="9:9" s="38" customFormat="1">
      <c r="I239" s="450"/>
    </row>
    <row r="240" spans="9:9" s="38" customFormat="1">
      <c r="I240" s="450"/>
    </row>
    <row r="241" spans="9:9" s="38" customFormat="1">
      <c r="I241" s="450"/>
    </row>
    <row r="242" spans="9:9" s="38" customFormat="1">
      <c r="I242" s="450"/>
    </row>
    <row r="243" spans="9:9" s="38" customFormat="1">
      <c r="I243" s="450"/>
    </row>
    <row r="244" spans="9:9" s="38" customFormat="1">
      <c r="I244" s="450"/>
    </row>
    <row r="245" spans="9:9" s="38" customFormat="1">
      <c r="I245" s="450"/>
    </row>
    <row r="246" spans="9:9" s="38" customFormat="1">
      <c r="I246" s="450"/>
    </row>
    <row r="247" spans="9:9" s="38" customFormat="1">
      <c r="I247" s="450"/>
    </row>
    <row r="248" spans="9:9" s="38" customFormat="1">
      <c r="I248" s="450"/>
    </row>
    <row r="249" spans="9:9" s="38" customFormat="1">
      <c r="I249" s="450"/>
    </row>
    <row r="250" spans="9:9" s="38" customFormat="1">
      <c r="I250" s="450"/>
    </row>
    <row r="251" spans="9:9" s="38" customFormat="1">
      <c r="I251" s="450"/>
    </row>
    <row r="252" spans="9:9" s="38" customFormat="1">
      <c r="I252" s="450"/>
    </row>
    <row r="253" spans="9:9" s="38" customFormat="1">
      <c r="I253" s="450"/>
    </row>
    <row r="254" spans="9:9" s="38" customFormat="1">
      <c r="I254" s="450"/>
    </row>
    <row r="255" spans="9:9" s="38" customFormat="1">
      <c r="I255" s="450"/>
    </row>
    <row r="256" spans="9:9" s="38" customFormat="1">
      <c r="I256" s="450"/>
    </row>
    <row r="257" spans="7:9" s="38" customFormat="1">
      <c r="I257" s="450"/>
    </row>
    <row r="258" spans="7:9" s="38" customFormat="1">
      <c r="I258" s="450"/>
    </row>
    <row r="259" spans="7:9" s="38" customFormat="1">
      <c r="I259" s="450"/>
    </row>
    <row r="260" spans="7:9" s="38" customFormat="1">
      <c r="I260" s="450"/>
    </row>
    <row r="261" spans="7:9" s="38" customFormat="1">
      <c r="I261" s="450"/>
    </row>
    <row r="262" spans="7:9" s="38" customFormat="1">
      <c r="I262" s="450"/>
    </row>
    <row r="263" spans="7:9" s="38" customFormat="1">
      <c r="I263" s="450"/>
    </row>
    <row r="264" spans="7:9" s="38" customFormat="1">
      <c r="I264" s="450"/>
    </row>
    <row r="265" spans="7:9" s="38" customFormat="1">
      <c r="I265" s="450"/>
    </row>
    <row r="266" spans="7:9" s="38" customFormat="1">
      <c r="I266" s="450"/>
    </row>
    <row r="267" spans="7:9">
      <c r="G267" s="38"/>
      <c r="I267" s="450"/>
    </row>
  </sheetData>
  <mergeCells count="48">
    <mergeCell ref="F10:G11"/>
    <mergeCell ref="F5:G5"/>
    <mergeCell ref="F33:G33"/>
    <mergeCell ref="A33:E33"/>
    <mergeCell ref="B45:C45"/>
    <mergeCell ref="F6:G6"/>
    <mergeCell ref="A6:C6"/>
    <mergeCell ref="A18:C18"/>
    <mergeCell ref="F25:G25"/>
    <mergeCell ref="F26:G26"/>
    <mergeCell ref="F27:G27"/>
    <mergeCell ref="F13:G16"/>
    <mergeCell ref="F18:G19"/>
    <mergeCell ref="F17:G17"/>
    <mergeCell ref="A10:C10"/>
    <mergeCell ref="A8:C8"/>
    <mergeCell ref="A28:C28"/>
    <mergeCell ref="A27:C27"/>
    <mergeCell ref="A1:J1"/>
    <mergeCell ref="A2:J2"/>
    <mergeCell ref="A23:C23"/>
    <mergeCell ref="A25:C25"/>
    <mergeCell ref="D4:E4"/>
    <mergeCell ref="A21:C21"/>
    <mergeCell ref="I4:I5"/>
    <mergeCell ref="A11:C11"/>
    <mergeCell ref="A22:C22"/>
    <mergeCell ref="A7:C7"/>
    <mergeCell ref="A19:C19"/>
    <mergeCell ref="F21:G21"/>
    <mergeCell ref="A26:C26"/>
    <mergeCell ref="F7:G8"/>
    <mergeCell ref="A3:J3"/>
    <mergeCell ref="H37:I37"/>
    <mergeCell ref="F39:G39"/>
    <mergeCell ref="F40:G40"/>
    <mergeCell ref="F44:G44"/>
    <mergeCell ref="F22:G22"/>
    <mergeCell ref="F23:G23"/>
    <mergeCell ref="F28:G28"/>
    <mergeCell ref="A30:C30"/>
    <mergeCell ref="A31:C31"/>
    <mergeCell ref="F42:G42"/>
    <mergeCell ref="F43:G43"/>
    <mergeCell ref="F41:G41"/>
    <mergeCell ref="A38:D38"/>
    <mergeCell ref="E38:G38"/>
    <mergeCell ref="F30:G31"/>
  </mergeCells>
  <conditionalFormatting sqref="I6">
    <cfRule type="expression" dxfId="38" priority="4" stopIfTrue="1">
      <formula>$H$6="N/A"</formula>
    </cfRule>
  </conditionalFormatting>
  <conditionalFormatting sqref="I18">
    <cfRule type="expression" dxfId="37" priority="1" stopIfTrue="1">
      <formula>$H$18=0</formula>
    </cfRule>
  </conditionalFormatting>
  <conditionalFormatting sqref="I19">
    <cfRule type="expression" dxfId="36" priority="3" stopIfTrue="1">
      <formula>$H$19=0</formula>
    </cfRule>
  </conditionalFormatting>
  <dataValidations count="1">
    <dataValidation allowBlank="1" showInputMessage="1" showErrorMessage="1" prompt="You can delete default #s and enter your own." sqref="H6:H8 H10:H11 H13:H16 H18:H19" xr:uid="{00000000-0002-0000-0300-000000000000}"/>
  </dataValidations>
  <printOptions horizontalCentered="1"/>
  <pageMargins left="0.7" right="0.7" top="0.75" bottom="0.75" header="0.3" footer="0.3"/>
  <pageSetup scale="61" orientation="landscape" horizontalDpi="300" r:id="rId1"/>
  <headerFooter>
    <oddFooter>&amp;L&amp;10&amp;F
&amp;A&amp;R&amp;10Louisville Metro Government
Page &amp;P of &amp;N</oddFooter>
  </headerFooter>
  <ignoredErrors>
    <ignoredError sqref="I2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BF281"/>
  <sheetViews>
    <sheetView topLeftCell="A28" zoomScale="110" zoomScaleNormal="110" zoomScaleSheetLayoutView="70" workbookViewId="0">
      <selection activeCell="L16" sqref="L16"/>
    </sheetView>
  </sheetViews>
  <sheetFormatPr defaultColWidth="8.90625" defaultRowHeight="13.2"/>
  <cols>
    <col min="1" max="1" width="1.36328125" style="40" customWidth="1"/>
    <col min="2" max="2" width="11" style="32" customWidth="1"/>
    <col min="3" max="3" width="10.54296875" style="32" customWidth="1"/>
    <col min="4" max="4" width="11.08984375" style="32" customWidth="1"/>
    <col min="5" max="5" width="9.08984375" style="32" bestFit="1" customWidth="1"/>
    <col min="6" max="6" width="9" style="32" bestFit="1" customWidth="1"/>
    <col min="7" max="7" width="3" style="32" customWidth="1"/>
    <col min="8" max="8" width="9" style="32" bestFit="1" customWidth="1"/>
    <col min="9" max="9" width="12.08984375" style="32" customWidth="1"/>
    <col min="10" max="10" width="11.1796875" style="32" customWidth="1"/>
    <col min="11" max="11" width="6.90625" style="32" customWidth="1"/>
    <col min="12" max="20" width="8.90625" style="37"/>
    <col min="21" max="21" width="8.90625" style="37" customWidth="1"/>
    <col min="22" max="42" width="8.90625" style="37"/>
    <col min="43" max="58" width="8.90625" style="40"/>
    <col min="59" max="16384" width="8.90625" style="32"/>
  </cols>
  <sheetData>
    <row r="1" spans="1:58" s="40" customFormat="1" ht="17.399999999999999">
      <c r="A1" s="1215" t="str">
        <f ca="1">name</f>
        <v>RENTAL PRODUCTION APPLICATION</v>
      </c>
      <c r="B1" s="1215"/>
      <c r="C1" s="1215"/>
      <c r="D1" s="1215"/>
      <c r="E1" s="1215"/>
      <c r="F1" s="1215"/>
      <c r="G1" s="1215"/>
      <c r="H1" s="1215"/>
      <c r="I1" s="1215"/>
      <c r="J1" s="1215"/>
      <c r="K1" s="1215"/>
      <c r="L1" s="260"/>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row>
    <row r="2" spans="1:58" s="40" customFormat="1" ht="22.8">
      <c r="A2" s="951"/>
      <c r="B2" s="1283" t="s">
        <v>228</v>
      </c>
      <c r="C2" s="1283"/>
      <c r="D2" s="1283"/>
      <c r="E2" s="1283"/>
      <c r="F2" s="1283"/>
      <c r="G2" s="1283"/>
      <c r="H2" s="1283"/>
      <c r="I2" s="1283"/>
      <c r="J2" s="1283"/>
      <c r="K2" s="1283"/>
      <c r="L2" s="261"/>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row>
    <row r="3" spans="1:58" s="37" customFormat="1" ht="19.95" customHeight="1">
      <c r="B3" s="1280" t="s">
        <v>785</v>
      </c>
      <c r="C3" s="1280"/>
      <c r="D3" s="1286"/>
      <c r="E3" s="1286"/>
      <c r="F3" s="1286"/>
      <c r="G3" s="1286"/>
      <c r="H3" s="1286"/>
      <c r="I3" s="1286"/>
      <c r="J3" s="1286"/>
    </row>
    <row r="4" spans="1:58" s="37" customFormat="1" ht="19.95" customHeight="1">
      <c r="B4" s="1271" t="s">
        <v>414</v>
      </c>
      <c r="C4" s="1271"/>
      <c r="D4" s="1114"/>
      <c r="E4" s="1114"/>
      <c r="F4" s="1284" t="s">
        <v>787</v>
      </c>
      <c r="G4" s="1284"/>
      <c r="H4" s="1287"/>
      <c r="I4" s="1287"/>
      <c r="J4" s="1287"/>
      <c r="U4" s="277"/>
    </row>
    <row r="5" spans="1:58" s="38" customFormat="1" ht="19.95" customHeight="1">
      <c r="C5" s="1112" t="s">
        <v>60</v>
      </c>
      <c r="D5" s="1113">
        <f>Units</f>
        <v>0</v>
      </c>
      <c r="E5" s="1115"/>
      <c r="F5" s="1280" t="s">
        <v>225</v>
      </c>
      <c r="G5" s="1280"/>
      <c r="H5" s="1280"/>
      <c r="I5" s="1110"/>
      <c r="J5" s="1110"/>
      <c r="K5" s="1111"/>
      <c r="L5" s="1111"/>
      <c r="M5" s="100"/>
      <c r="N5" s="100"/>
      <c r="O5" s="100"/>
      <c r="P5" s="100"/>
      <c r="Q5" s="100"/>
      <c r="R5" s="100"/>
      <c r="S5" s="100"/>
      <c r="T5" s="100"/>
      <c r="U5" s="277" t="s">
        <v>375</v>
      </c>
      <c r="V5" s="100"/>
      <c r="W5" s="100"/>
      <c r="X5" s="100"/>
      <c r="Y5" s="100"/>
      <c r="Z5" s="100"/>
      <c r="AA5" s="100"/>
      <c r="AB5" s="100"/>
      <c r="AC5" s="100"/>
      <c r="AD5" s="100"/>
      <c r="AE5" s="100"/>
      <c r="AF5" s="100"/>
      <c r="AG5" s="100"/>
      <c r="AH5" s="100"/>
      <c r="AI5" s="100"/>
      <c r="AJ5" s="100"/>
      <c r="AK5" s="100"/>
      <c r="AL5" s="100"/>
      <c r="AM5" s="100"/>
      <c r="AN5" s="100"/>
      <c r="AO5" s="100"/>
      <c r="AP5" s="100"/>
    </row>
    <row r="6" spans="1:58" s="37" customFormat="1" ht="15" customHeight="1">
      <c r="B6" s="1269" t="s">
        <v>227</v>
      </c>
      <c r="C6" s="1269"/>
      <c r="D6" s="1117"/>
      <c r="E6" s="1118"/>
      <c r="F6" s="803"/>
      <c r="G6" s="803"/>
      <c r="H6" s="1121" t="s">
        <v>223</v>
      </c>
      <c r="I6" s="1285"/>
      <c r="J6" s="1285"/>
      <c r="N6" s="1111"/>
      <c r="O6" s="1111"/>
      <c r="P6" s="1111"/>
      <c r="Q6" s="1125"/>
      <c r="U6" s="277" t="s">
        <v>376</v>
      </c>
    </row>
    <row r="7" spans="1:58" s="38" customFormat="1" ht="15.6">
      <c r="B7" s="1269" t="s">
        <v>226</v>
      </c>
      <c r="C7" s="1269"/>
      <c r="D7" s="1116"/>
      <c r="E7" s="1113"/>
      <c r="F7" s="1119"/>
      <c r="G7" s="83"/>
      <c r="H7" s="1120" t="s">
        <v>303</v>
      </c>
      <c r="I7" s="1022"/>
      <c r="J7" s="1022"/>
      <c r="L7" s="100"/>
      <c r="N7" s="1125"/>
      <c r="O7" s="1126"/>
      <c r="P7" s="1126"/>
      <c r="Q7" s="1125"/>
      <c r="R7" s="100"/>
      <c r="S7" s="100"/>
      <c r="T7" s="100"/>
      <c r="U7" s="277" t="s">
        <v>377</v>
      </c>
      <c r="V7" s="100"/>
      <c r="W7" s="100"/>
      <c r="X7" s="100"/>
      <c r="Y7" s="100"/>
      <c r="Z7" s="100"/>
      <c r="AA7" s="100"/>
      <c r="AB7" s="100"/>
      <c r="AC7" s="100"/>
      <c r="AD7" s="100"/>
      <c r="AE7" s="100"/>
      <c r="AF7" s="100"/>
      <c r="AG7" s="100"/>
      <c r="AH7" s="100"/>
      <c r="AI7" s="100"/>
      <c r="AJ7" s="100"/>
      <c r="AK7" s="100"/>
      <c r="AL7" s="100"/>
      <c r="AM7" s="100"/>
      <c r="AN7" s="100"/>
      <c r="AO7" s="100"/>
      <c r="AP7" s="100"/>
    </row>
    <row r="8" spans="1:58" s="39" customFormat="1" ht="14.4">
      <c r="B8" s="1270" t="s">
        <v>231</v>
      </c>
      <c r="C8" s="1270"/>
      <c r="D8" s="1122">
        <f>ResSqFt</f>
        <v>0</v>
      </c>
      <c r="E8" s="1123"/>
      <c r="F8" s="1123"/>
      <c r="G8" s="1123"/>
      <c r="H8" s="1121" t="s">
        <v>413</v>
      </c>
      <c r="I8" s="1124" t="str">
        <f>IFERROR(D8/Units,"-")</f>
        <v>-</v>
      </c>
      <c r="J8" s="1123"/>
      <c r="L8" s="37"/>
      <c r="M8" s="37"/>
      <c r="N8" s="37"/>
      <c r="O8" s="37"/>
      <c r="P8" s="37"/>
      <c r="Q8" s="37"/>
      <c r="R8" s="37"/>
      <c r="S8" s="37"/>
      <c r="T8" s="37"/>
      <c r="U8" s="277" t="s">
        <v>378</v>
      </c>
      <c r="V8" s="37"/>
      <c r="W8" s="37"/>
      <c r="X8" s="37"/>
      <c r="Y8" s="37"/>
      <c r="Z8" s="37"/>
      <c r="AA8" s="37"/>
      <c r="AB8" s="37"/>
      <c r="AC8" s="37"/>
      <c r="AD8" s="37"/>
      <c r="AE8" s="37"/>
      <c r="AF8" s="37"/>
      <c r="AG8" s="37"/>
      <c r="AH8" s="37"/>
      <c r="AI8" s="37"/>
      <c r="AJ8" s="37"/>
      <c r="AK8" s="37"/>
      <c r="AL8" s="37"/>
      <c r="AM8" s="37"/>
      <c r="AN8" s="37"/>
      <c r="AO8" s="37"/>
      <c r="AP8" s="37"/>
    </row>
    <row r="9" spans="1:58" s="39" customFormat="1" ht="15.75" customHeight="1">
      <c r="B9" s="1282" t="s">
        <v>450</v>
      </c>
      <c r="C9" s="1282"/>
      <c r="D9" s="1282"/>
      <c r="E9" s="1116"/>
      <c r="F9" s="1116"/>
      <c r="L9" s="37"/>
      <c r="M9" s="37"/>
      <c r="N9" s="37"/>
      <c r="O9" s="37"/>
      <c r="P9" s="37"/>
      <c r="Q9" s="37"/>
      <c r="R9" s="37"/>
      <c r="S9" s="37"/>
      <c r="T9" s="37"/>
      <c r="U9" s="277" t="s">
        <v>379</v>
      </c>
      <c r="V9" s="37"/>
      <c r="W9" s="37"/>
      <c r="X9" s="37"/>
      <c r="Y9" s="37"/>
      <c r="Z9" s="37"/>
      <c r="AA9" s="37"/>
      <c r="AB9" s="37"/>
      <c r="AC9" s="37"/>
      <c r="AD9" s="37"/>
      <c r="AE9" s="37"/>
      <c r="AF9" s="37"/>
      <c r="AG9" s="37"/>
      <c r="AH9" s="37"/>
      <c r="AI9" s="37"/>
      <c r="AJ9" s="37"/>
      <c r="AK9" s="37"/>
      <c r="AL9" s="37"/>
      <c r="AM9" s="37"/>
      <c r="AN9" s="37"/>
      <c r="AO9" s="37"/>
      <c r="AP9" s="37"/>
    </row>
    <row r="10" spans="1:58" ht="14.4">
      <c r="B10" s="40"/>
      <c r="C10" s="40"/>
      <c r="D10" s="40"/>
      <c r="E10" s="40"/>
      <c r="F10" s="40"/>
      <c r="G10" s="40"/>
      <c r="H10" s="40"/>
      <c r="I10" s="40"/>
      <c r="J10" s="40"/>
      <c r="K10" s="40"/>
      <c r="U10" s="277"/>
    </row>
    <row r="11" spans="1:58" ht="15" customHeight="1">
      <c r="B11" s="101" t="s">
        <v>164</v>
      </c>
      <c r="C11" s="52" t="s">
        <v>186</v>
      </c>
      <c r="D11" s="104" t="s">
        <v>339</v>
      </c>
      <c r="E11" s="104" t="s">
        <v>340</v>
      </c>
      <c r="F11" s="104" t="s">
        <v>341</v>
      </c>
      <c r="G11" s="1247" t="s">
        <v>342</v>
      </c>
      <c r="H11" s="1272"/>
      <c r="I11" s="53" t="s">
        <v>178</v>
      </c>
      <c r="J11" s="40"/>
      <c r="K11" s="40"/>
      <c r="U11" s="277"/>
    </row>
    <row r="12" spans="1:58" s="924" customFormat="1" ht="17.25" customHeight="1">
      <c r="A12" s="508"/>
      <c r="B12" s="921" t="s">
        <v>194</v>
      </c>
      <c r="C12" s="925">
        <f>'3)Income'!C45</f>
        <v>0</v>
      </c>
      <c r="D12" s="925">
        <f>'3)Income'!C52</f>
        <v>0</v>
      </c>
      <c r="E12" s="925">
        <f>'3)Income'!C59</f>
        <v>0</v>
      </c>
      <c r="F12" s="925">
        <f>'3)Income'!C66</f>
        <v>0</v>
      </c>
      <c r="G12" s="1279">
        <f>'3)Income'!C73</f>
        <v>0</v>
      </c>
      <c r="H12" s="1279"/>
      <c r="I12" s="922">
        <f>SUM(C12:H12)</f>
        <v>0</v>
      </c>
      <c r="J12" s="508"/>
      <c r="K12" s="508"/>
      <c r="L12" s="508"/>
      <c r="M12" s="508"/>
      <c r="N12" s="508"/>
      <c r="O12" s="508"/>
      <c r="P12" s="508"/>
      <c r="Q12" s="508"/>
      <c r="R12" s="508"/>
      <c r="S12" s="508"/>
      <c r="T12" s="508"/>
      <c r="U12" s="923"/>
      <c r="V12" s="508"/>
      <c r="W12" s="508"/>
      <c r="X12" s="508"/>
      <c r="Y12" s="508"/>
      <c r="Z12" s="508"/>
      <c r="AA12" s="508"/>
      <c r="AB12" s="508"/>
      <c r="AC12" s="508"/>
      <c r="AD12" s="508"/>
      <c r="AE12" s="508"/>
      <c r="AF12" s="508"/>
      <c r="AG12" s="508"/>
      <c r="AH12" s="508"/>
      <c r="AI12" s="508"/>
      <c r="AJ12" s="508"/>
      <c r="AK12" s="508"/>
      <c r="AL12" s="508"/>
      <c r="AM12" s="508"/>
      <c r="AN12" s="508"/>
      <c r="AO12" s="508"/>
      <c r="AP12" s="508"/>
      <c r="AQ12" s="508"/>
      <c r="AR12" s="508"/>
      <c r="AS12" s="508"/>
      <c r="AT12" s="508"/>
      <c r="AU12" s="508"/>
      <c r="AV12" s="508"/>
      <c r="AW12" s="508"/>
      <c r="AX12" s="508"/>
      <c r="AY12" s="508"/>
      <c r="AZ12" s="508"/>
      <c r="BA12" s="508"/>
      <c r="BB12" s="508"/>
      <c r="BC12" s="508"/>
      <c r="BD12" s="508"/>
      <c r="BE12" s="508"/>
      <c r="BF12" s="508"/>
    </row>
    <row r="13" spans="1:58" s="502" customFormat="1" ht="17.25" customHeight="1">
      <c r="B13" s="503" t="s">
        <v>519</v>
      </c>
      <c r="C13" s="920" t="str">
        <f>IFERROR('3)Income'!K45/'3)Income'!C45,"-")</f>
        <v>-</v>
      </c>
      <c r="D13" s="920" t="str">
        <f>IFERROR('3)Income'!K52/'3)Income'!C52,"-")</f>
        <v>-</v>
      </c>
      <c r="E13" s="920" t="str">
        <f>IFERROR('3)Income'!K59/'3)Income'!C59,"-")</f>
        <v>-</v>
      </c>
      <c r="F13" s="920" t="str">
        <f>IFERROR('3)Income'!K66/'3)Income'!C66,"-")</f>
        <v>-</v>
      </c>
      <c r="G13" s="1281" t="str">
        <f>IFERROR('3)Income'!K73/'3)Income'!C73,"-")</f>
        <v>-</v>
      </c>
      <c r="H13" s="1281"/>
      <c r="I13" s="504"/>
      <c r="U13" s="505"/>
    </row>
    <row r="14" spans="1:58" ht="16.5" customHeight="1">
      <c r="B14" s="40"/>
      <c r="C14" s="40"/>
      <c r="D14" s="40"/>
      <c r="E14" s="40"/>
      <c r="F14" s="40"/>
      <c r="G14" s="40"/>
      <c r="H14" s="1275" t="s">
        <v>206</v>
      </c>
      <c r="I14" s="40"/>
      <c r="J14" s="423"/>
      <c r="K14" s="423"/>
      <c r="L14" s="425"/>
      <c r="M14" s="424"/>
      <c r="U14" s="277"/>
    </row>
    <row r="15" spans="1:58" ht="12.75" customHeight="1">
      <c r="B15" s="101" t="s">
        <v>165</v>
      </c>
      <c r="C15" s="40"/>
      <c r="D15" s="52" t="s">
        <v>172</v>
      </c>
      <c r="E15" s="52" t="s">
        <v>161</v>
      </c>
      <c r="F15" s="40"/>
      <c r="G15" s="40"/>
      <c r="H15" s="1275"/>
      <c r="I15" s="1277" t="s">
        <v>313</v>
      </c>
      <c r="J15" s="1273" t="s">
        <v>162</v>
      </c>
      <c r="K15" s="40"/>
      <c r="U15" s="277"/>
    </row>
    <row r="16" spans="1:58" ht="14.4">
      <c r="B16" s="41" t="s">
        <v>166</v>
      </c>
      <c r="C16" s="41"/>
      <c r="D16" s="185">
        <f>'3)Income'!J76</f>
        <v>0</v>
      </c>
      <c r="E16" s="185">
        <f t="shared" ref="E16:E24" si="0">IFERROR(D16/Units,0)</f>
        <v>0</v>
      </c>
      <c r="F16" s="40"/>
      <c r="G16" s="40"/>
      <c r="H16" s="1276"/>
      <c r="I16" s="1278"/>
      <c r="J16" s="1274"/>
      <c r="K16" s="40"/>
      <c r="U16" s="277"/>
    </row>
    <row r="17" spans="2:21" ht="14.4">
      <c r="B17" s="39" t="s">
        <v>283</v>
      </c>
      <c r="C17" s="40"/>
      <c r="D17" s="87">
        <f>'3)Income'!J94+'3)Income'!E100</f>
        <v>0</v>
      </c>
      <c r="E17" s="87">
        <f t="shared" si="0"/>
        <v>0</v>
      </c>
      <c r="F17" s="40"/>
      <c r="G17" s="40"/>
      <c r="H17" s="40" t="s">
        <v>86</v>
      </c>
      <c r="I17" s="85" t="str">
        <f>'5)Operating Proforma'!E39</f>
        <v>n/a</v>
      </c>
      <c r="J17" s="87" t="str">
        <f>IFERROR('5)Operating Proforma'!E42,0)</f>
        <v>-</v>
      </c>
      <c r="K17" s="40"/>
      <c r="U17" s="277"/>
    </row>
    <row r="18" spans="2:21" ht="14.4">
      <c r="B18" s="40" t="s">
        <v>168</v>
      </c>
      <c r="C18" s="1016">
        <f>'5)Operating Proforma'!C8</f>
        <v>0.05</v>
      </c>
      <c r="D18" s="87">
        <f>'5)Operating Proforma'!E8</f>
        <v>0</v>
      </c>
      <c r="E18" s="87">
        <f t="shared" si="0"/>
        <v>0</v>
      </c>
      <c r="F18" s="46"/>
      <c r="G18" s="46"/>
      <c r="H18" s="40" t="s">
        <v>88</v>
      </c>
      <c r="I18" s="85" t="str">
        <f>'5)Operating Proforma'!I39</f>
        <v>n/a</v>
      </c>
      <c r="J18" s="87" t="str">
        <f>IFERROR('5)Operating Proforma'!I42,0)</f>
        <v>-</v>
      </c>
      <c r="K18" s="40"/>
      <c r="U18" s="277"/>
    </row>
    <row r="19" spans="2:21" ht="14.4">
      <c r="B19" s="40" t="s">
        <v>189</v>
      </c>
      <c r="C19" s="54"/>
      <c r="D19" s="87">
        <f>'5)Operating Proforma'!E12</f>
        <v>0</v>
      </c>
      <c r="E19" s="87">
        <f t="shared" si="0"/>
        <v>0</v>
      </c>
      <c r="F19" s="46"/>
      <c r="G19" s="46"/>
      <c r="H19" s="40" t="s">
        <v>182</v>
      </c>
      <c r="I19" s="85" t="str">
        <f>'5)Operating Proforma'!N39</f>
        <v>n/a</v>
      </c>
      <c r="J19" s="87" t="str">
        <f>IFERROR('5)Operating Proforma'!N42,0)</f>
        <v>-</v>
      </c>
      <c r="K19" s="40"/>
      <c r="U19" s="277"/>
    </row>
    <row r="20" spans="2:21" ht="14.4">
      <c r="B20" s="39" t="s">
        <v>289</v>
      </c>
      <c r="C20" s="40"/>
      <c r="D20" s="87">
        <f>TotalOperating</f>
        <v>0</v>
      </c>
      <c r="E20" s="87">
        <f t="shared" si="0"/>
        <v>0</v>
      </c>
      <c r="F20" s="40"/>
      <c r="G20" s="40"/>
      <c r="H20" s="47" t="s">
        <v>183</v>
      </c>
      <c r="I20" s="86" t="str">
        <f>'5)Operating Proforma'!S39</f>
        <v>n/a</v>
      </c>
      <c r="J20" s="88" t="str">
        <f>IFERROR('5)Operating Proforma'!S42,0)</f>
        <v>-</v>
      </c>
      <c r="K20" s="40"/>
      <c r="U20" s="277"/>
    </row>
    <row r="21" spans="2:21" ht="14.4">
      <c r="B21" s="40" t="s">
        <v>169</v>
      </c>
      <c r="C21" s="40"/>
      <c r="D21" s="87">
        <f>'5)Operating Proforma'!E24</f>
        <v>0</v>
      </c>
      <c r="E21" s="87">
        <f t="shared" si="0"/>
        <v>0</v>
      </c>
      <c r="F21" s="40"/>
      <c r="G21" s="40"/>
      <c r="H21" s="40"/>
      <c r="I21" s="40"/>
      <c r="J21" s="40"/>
      <c r="K21" s="40"/>
      <c r="M21" s="262"/>
      <c r="U21" s="277"/>
    </row>
    <row r="22" spans="2:21" ht="14.4">
      <c r="B22" s="40" t="s">
        <v>170</v>
      </c>
      <c r="C22" s="40"/>
      <c r="D22" s="87">
        <f>'5)Operating Proforma'!E25</f>
        <v>0</v>
      </c>
      <c r="E22" s="87">
        <f t="shared" si="0"/>
        <v>0</v>
      </c>
      <c r="F22" s="40"/>
      <c r="G22" s="40"/>
      <c r="H22" s="101" t="s">
        <v>188</v>
      </c>
      <c r="I22" s="40"/>
      <c r="J22" s="40"/>
      <c r="K22" s="40"/>
      <c r="U22" s="277"/>
    </row>
    <row r="23" spans="2:21" ht="14.4">
      <c r="B23" s="40" t="s">
        <v>171</v>
      </c>
      <c r="C23" s="40"/>
      <c r="D23" s="87">
        <f>'5)Operating Proforma'!E38</f>
        <v>0</v>
      </c>
      <c r="E23" s="87">
        <f t="shared" si="0"/>
        <v>0</v>
      </c>
      <c r="F23" s="40"/>
      <c r="G23" s="40"/>
      <c r="H23" s="76" t="s">
        <v>284</v>
      </c>
      <c r="I23" s="77"/>
      <c r="J23" s="80">
        <f>'5)Operating Proforma'!C8</f>
        <v>0.05</v>
      </c>
      <c r="K23" s="40"/>
      <c r="U23" s="277"/>
    </row>
    <row r="24" spans="2:21" ht="14.4">
      <c r="B24" s="83" t="s">
        <v>290</v>
      </c>
      <c r="C24" s="47"/>
      <c r="D24" s="88">
        <f>'5)Operating Proforma'!E41</f>
        <v>0</v>
      </c>
      <c r="E24" s="88">
        <f t="shared" si="0"/>
        <v>0</v>
      </c>
      <c r="F24" s="40"/>
      <c r="G24" s="40"/>
      <c r="H24" s="56" t="s">
        <v>287</v>
      </c>
      <c r="I24" s="39"/>
      <c r="J24" s="81">
        <f>'5)Operating Proforma'!D8</f>
        <v>0.05</v>
      </c>
      <c r="K24" s="40"/>
      <c r="U24" s="277"/>
    </row>
    <row r="25" spans="2:21" ht="14.4">
      <c r="C25" s="40"/>
      <c r="D25" s="40"/>
      <c r="E25" s="40"/>
      <c r="F25" s="55"/>
      <c r="G25" s="55"/>
      <c r="H25" s="76" t="s">
        <v>205</v>
      </c>
      <c r="I25" s="77"/>
      <c r="J25" s="80">
        <f>'5)Operating Proforma'!C7</f>
        <v>0.02</v>
      </c>
      <c r="K25" s="40"/>
      <c r="U25" s="277"/>
    </row>
    <row r="26" spans="2:21" ht="14.4">
      <c r="B26" s="101" t="s">
        <v>173</v>
      </c>
      <c r="C26" s="40"/>
      <c r="D26" s="52" t="s">
        <v>178</v>
      </c>
      <c r="E26" s="52" t="s">
        <v>161</v>
      </c>
      <c r="F26" s="52" t="s">
        <v>184</v>
      </c>
      <c r="G26" s="52"/>
      <c r="H26" s="82" t="s">
        <v>288</v>
      </c>
      <c r="I26" s="83"/>
      <c r="J26" s="84">
        <f>'5)Operating Proforma'!D7</f>
        <v>0.02</v>
      </c>
      <c r="U26" s="277"/>
    </row>
    <row r="27" spans="2:21" ht="14.4">
      <c r="B27" s="41" t="s">
        <v>174</v>
      </c>
      <c r="C27" s="41"/>
      <c r="D27" s="185">
        <f>'2)Sources &amp; Uses'!E62</f>
        <v>0</v>
      </c>
      <c r="E27" s="185">
        <f>IFERROR(D27/Units,0)</f>
        <v>0</v>
      </c>
      <c r="F27" s="290">
        <f>IFERROR(D27/$D$32,0)</f>
        <v>0</v>
      </c>
      <c r="G27" s="46"/>
      <c r="H27" s="56" t="s">
        <v>190</v>
      </c>
      <c r="I27" s="39"/>
      <c r="J27" s="81"/>
      <c r="K27" s="40"/>
      <c r="U27" s="277"/>
    </row>
    <row r="28" spans="2:21" ht="14.4">
      <c r="B28" s="40" t="s">
        <v>175</v>
      </c>
      <c r="C28" s="40"/>
      <c r="D28" s="87">
        <f>'2)Sources &amp; Uses'!E91</f>
        <v>0</v>
      </c>
      <c r="E28" s="87">
        <f>IFERROR(D28/Units,0)</f>
        <v>0</v>
      </c>
      <c r="F28" s="291">
        <f>IFERROR(D28/$D$32,0)</f>
        <v>0</v>
      </c>
      <c r="G28" s="46"/>
      <c r="H28" s="75" t="str">
        <f>'4)Expenses'!$B$7</f>
        <v>Administrative</v>
      </c>
      <c r="I28" s="50"/>
      <c r="J28" s="81">
        <f>'5)Operating Proforma'!D16</f>
        <v>0.03</v>
      </c>
      <c r="K28" s="40"/>
      <c r="U28" s="277"/>
    </row>
    <row r="29" spans="2:21" ht="14.4">
      <c r="B29" s="40" t="s">
        <v>16</v>
      </c>
      <c r="C29" s="40"/>
      <c r="D29" s="87">
        <f>'2)Sources &amp; Uses'!E94</f>
        <v>0</v>
      </c>
      <c r="E29" s="87">
        <f>IFERROR(D29/Units,0)</f>
        <v>0</v>
      </c>
      <c r="F29" s="291">
        <f>IFERROR(D29/$D$32,0)</f>
        <v>0</v>
      </c>
      <c r="G29" s="46"/>
      <c r="H29" s="75" t="str">
        <f>'4)Expenses'!$B$22</f>
        <v>Operating/Maintenance</v>
      </c>
      <c r="I29" s="50"/>
      <c r="J29" s="81">
        <f>'5)Operating Proforma'!D17</f>
        <v>0.03</v>
      </c>
      <c r="K29" s="40"/>
      <c r="U29" s="277"/>
    </row>
    <row r="30" spans="2:21" ht="14.4">
      <c r="B30" s="40" t="s">
        <v>176</v>
      </c>
      <c r="C30" s="40"/>
      <c r="D30" s="87">
        <f>'2)Sources &amp; Uses'!E157-'1)Summary'!D31</f>
        <v>0</v>
      </c>
      <c r="E30" s="87">
        <f>IFERROR(D30/Units,0)</f>
        <v>0</v>
      </c>
      <c r="F30" s="291">
        <f>IFERROR(D30/$D$32,0)</f>
        <v>0</v>
      </c>
      <c r="G30" s="46"/>
      <c r="H30" s="75" t="str">
        <f>'4)Expenses'!$B$32</f>
        <v>Utilities</v>
      </c>
      <c r="I30" s="51"/>
      <c r="J30" s="81">
        <f>'5)Operating Proforma'!D18</f>
        <v>0.03</v>
      </c>
      <c r="K30" s="40"/>
      <c r="U30" s="277"/>
    </row>
    <row r="31" spans="2:21" ht="14.4">
      <c r="B31" s="47" t="s">
        <v>177</v>
      </c>
      <c r="C31" s="47"/>
      <c r="D31" s="88">
        <f>'2)Sources &amp; Uses'!E154+'2)Sources &amp; Uses'!E155+'2)Sources &amp; Uses'!E156</f>
        <v>0</v>
      </c>
      <c r="E31" s="88">
        <f>IFERROR(D31/Units,0)</f>
        <v>0</v>
      </c>
      <c r="F31" s="292">
        <f>IFERROR(D31/$D$32,0)</f>
        <v>0</v>
      </c>
      <c r="G31" s="46"/>
      <c r="H31" s="78" t="str">
        <f>'4)Expenses'!$B$39</f>
        <v>Taxes/Insurance</v>
      </c>
      <c r="I31" s="79"/>
      <c r="J31" s="84">
        <f>'5)Operating Proforma'!D19</f>
        <v>0.03</v>
      </c>
      <c r="K31" s="40"/>
      <c r="L31" s="40"/>
      <c r="M31" s="423"/>
      <c r="N31" s="423"/>
      <c r="O31" s="423"/>
      <c r="U31" s="277"/>
    </row>
    <row r="32" spans="2:21" ht="14.4">
      <c r="B32" s="48" t="s">
        <v>178</v>
      </c>
      <c r="C32" s="48"/>
      <c r="D32" s="354">
        <f>SUM(D27:D31)</f>
        <v>0</v>
      </c>
      <c r="E32" s="49" t="e">
        <f>D32/Units</f>
        <v>#DIV/0!</v>
      </c>
      <c r="F32" s="420">
        <f>SUM(F27:F31)</f>
        <v>0</v>
      </c>
      <c r="G32" s="40"/>
      <c r="H32" s="40"/>
      <c r="I32" s="51"/>
      <c r="J32" s="54"/>
      <c r="K32" s="40"/>
      <c r="U32" s="277"/>
    </row>
    <row r="33" spans="2:42" ht="14.4">
      <c r="B33" s="1179" t="s">
        <v>517</v>
      </c>
      <c r="C33" s="1179"/>
      <c r="D33" s="585" t="e">
        <f>D28/TotalSqFt</f>
        <v>#DIV/0!</v>
      </c>
      <c r="E33" s="40"/>
      <c r="F33" s="40"/>
      <c r="G33" s="40"/>
      <c r="H33" s="40"/>
      <c r="I33" s="40"/>
      <c r="J33" s="40"/>
      <c r="K33" s="40"/>
      <c r="U33" s="277"/>
    </row>
    <row r="34" spans="2:42" ht="14.4">
      <c r="B34" s="1179" t="s">
        <v>516</v>
      </c>
      <c r="C34" s="1179"/>
      <c r="D34" s="585" t="e">
        <f>TDC/TotalSqFt</f>
        <v>#DIV/0!</v>
      </c>
      <c r="E34" s="40"/>
      <c r="F34" s="40"/>
      <c r="G34" s="40"/>
      <c r="H34" s="40"/>
      <c r="I34" s="40"/>
      <c r="J34" s="40"/>
      <c r="K34" s="40"/>
      <c r="U34" s="277"/>
    </row>
    <row r="35" spans="2:42" ht="14.4">
      <c r="B35" s="1179" t="s">
        <v>518</v>
      </c>
      <c r="C35" s="584"/>
      <c r="D35" s="585" t="e">
        <f>D30/TotalSqFt</f>
        <v>#DIV/0!</v>
      </c>
      <c r="E35" s="40"/>
      <c r="F35" s="40"/>
      <c r="G35" s="40"/>
      <c r="H35" s="40"/>
      <c r="I35" s="40"/>
      <c r="J35" s="40"/>
      <c r="K35" s="40"/>
      <c r="U35" s="277"/>
    </row>
    <row r="36" spans="2:42" ht="18.75" customHeight="1">
      <c r="B36" s="101" t="s">
        <v>644</v>
      </c>
      <c r="C36" s="91"/>
      <c r="D36" s="52" t="s">
        <v>178</v>
      </c>
      <c r="E36" s="52" t="s">
        <v>161</v>
      </c>
      <c r="F36" s="52" t="s">
        <v>184</v>
      </c>
      <c r="G36" s="40"/>
      <c r="H36" s="594" t="s">
        <v>646</v>
      </c>
      <c r="I36" s="40"/>
      <c r="J36" s="52"/>
      <c r="K36" s="40"/>
      <c r="U36" s="277"/>
    </row>
    <row r="37" spans="2:42" ht="14.4">
      <c r="B37" s="89" t="s">
        <v>293</v>
      </c>
      <c r="C37" s="40"/>
      <c r="D37" s="42"/>
      <c r="E37" s="42"/>
      <c r="F37" s="43"/>
      <c r="G37" s="46"/>
      <c r="H37" s="77" t="s">
        <v>552</v>
      </c>
      <c r="I37" s="41"/>
      <c r="J37" s="510">
        <f>'2)Sources &amp; Uses'!F12</f>
        <v>0</v>
      </c>
      <c r="K37" s="40"/>
      <c r="U37" s="277"/>
    </row>
    <row r="38" spans="2:42" ht="14.4">
      <c r="B38" s="40" t="s">
        <v>740</v>
      </c>
      <c r="C38" s="40"/>
      <c r="D38" s="87">
        <f>'2)Sources &amp; Uses'!F15</f>
        <v>0</v>
      </c>
      <c r="E38" s="87">
        <f t="shared" ref="E38:E44" si="1">IFERROR(D38/Units,0)</f>
        <v>0</v>
      </c>
      <c r="F38" s="291">
        <f t="shared" ref="F38:F44" si="2">IFERROR(D38/$D$50,0)</f>
        <v>0</v>
      </c>
      <c r="G38" s="46"/>
      <c r="H38" s="39" t="s">
        <v>553</v>
      </c>
      <c r="I38" s="40"/>
      <c r="J38" s="1109"/>
      <c r="K38" s="40"/>
      <c r="U38" s="277"/>
    </row>
    <row r="39" spans="2:42" ht="14.4">
      <c r="B39" s="32" t="s">
        <v>803</v>
      </c>
      <c r="D39" s="1109">
        <f>'2)Sources &amp; Uses'!F16</f>
        <v>0</v>
      </c>
      <c r="E39" s="87">
        <f>IFERROR(D40/Units,0)</f>
        <v>0</v>
      </c>
      <c r="F39" s="291">
        <f>IFERROR(D40/$D$50,0)</f>
        <v>0</v>
      </c>
      <c r="G39" s="46"/>
      <c r="H39" s="39" t="s">
        <v>551</v>
      </c>
      <c r="I39" s="40"/>
      <c r="J39" s="509"/>
      <c r="K39" s="40"/>
      <c r="U39" s="277"/>
    </row>
    <row r="40" spans="2:42" ht="14.4">
      <c r="B40" s="40" t="s">
        <v>801</v>
      </c>
      <c r="C40" s="40"/>
      <c r="D40" s="87">
        <f>'2)Sources &amp; Uses'!F14</f>
        <v>0</v>
      </c>
      <c r="E40" s="87">
        <f>IFERROR(D41/Units,0)</f>
        <v>0</v>
      </c>
      <c r="F40" s="291">
        <f>IFERROR(D41/$D$50,0)</f>
        <v>0</v>
      </c>
      <c r="G40" s="46"/>
      <c r="H40" s="50" t="s">
        <v>604</v>
      </c>
      <c r="I40" s="50"/>
      <c r="J40" s="593">
        <f>SUM(J37:J39)</f>
        <v>0</v>
      </c>
      <c r="K40" s="39"/>
      <c r="U40" s="277"/>
    </row>
    <row r="41" spans="2:42" s="40" customFormat="1" ht="14.4">
      <c r="B41" s="44" t="s">
        <v>802</v>
      </c>
      <c r="D41" s="87">
        <f>'2)Sources &amp; Uses'!F13</f>
        <v>0</v>
      </c>
      <c r="E41" s="87">
        <f>IFERROR(#REF!/Units,0)</f>
        <v>0</v>
      </c>
      <c r="F41" s="291">
        <f>IFERROR(#REF!/$D$50,0)</f>
        <v>0</v>
      </c>
      <c r="G41" s="46"/>
      <c r="H41" s="591" t="s">
        <v>597</v>
      </c>
      <c r="I41" s="591"/>
      <c r="J41" s="592">
        <f>IFERROR((J37+J38+J39)/TDC,0)</f>
        <v>0</v>
      </c>
      <c r="L41" s="37"/>
      <c r="M41" s="37"/>
      <c r="N41" s="37"/>
      <c r="O41" s="37"/>
      <c r="P41" s="37"/>
      <c r="Q41" s="37"/>
      <c r="R41" s="37"/>
      <c r="S41" s="37"/>
      <c r="T41" s="37"/>
      <c r="U41" s="277"/>
      <c r="V41" s="37"/>
      <c r="W41" s="37"/>
      <c r="X41" s="37"/>
      <c r="Y41" s="37"/>
      <c r="Z41" s="37"/>
      <c r="AA41" s="37"/>
      <c r="AB41" s="37"/>
      <c r="AC41" s="37"/>
      <c r="AD41" s="37"/>
      <c r="AE41" s="37"/>
      <c r="AF41" s="37"/>
      <c r="AG41" s="37"/>
      <c r="AH41" s="37"/>
      <c r="AI41" s="37"/>
      <c r="AJ41" s="37"/>
      <c r="AK41" s="37"/>
      <c r="AL41" s="37"/>
      <c r="AM41" s="37"/>
      <c r="AN41" s="37"/>
      <c r="AO41" s="37"/>
      <c r="AP41" s="37"/>
    </row>
    <row r="42" spans="2:42" s="40" customFormat="1" ht="14.4">
      <c r="B42" s="853" t="s">
        <v>645</v>
      </c>
      <c r="C42" s="853"/>
      <c r="D42" s="854">
        <f>J40</f>
        <v>0</v>
      </c>
      <c r="E42" s="854">
        <f>IFERROR(D42/Units,0)</f>
        <v>0</v>
      </c>
      <c r="F42" s="855">
        <f>IFERROR(D42/$D$50,0)</f>
        <v>0</v>
      </c>
      <c r="G42" s="46"/>
      <c r="H42" s="349"/>
      <c r="I42" s="349"/>
      <c r="J42" s="852"/>
      <c r="L42" s="37"/>
      <c r="M42" s="37"/>
      <c r="N42" s="37"/>
      <c r="O42" s="37"/>
      <c r="P42" s="37"/>
      <c r="Q42" s="37"/>
      <c r="R42" s="37"/>
      <c r="S42" s="37"/>
      <c r="T42" s="37"/>
      <c r="U42" s="277"/>
      <c r="V42" s="37"/>
      <c r="W42" s="37"/>
      <c r="X42" s="37"/>
      <c r="Y42" s="37"/>
      <c r="Z42" s="37"/>
      <c r="AA42" s="37"/>
      <c r="AB42" s="37"/>
      <c r="AC42" s="37"/>
      <c r="AD42" s="37"/>
      <c r="AE42" s="37"/>
      <c r="AF42" s="37"/>
      <c r="AG42" s="37"/>
      <c r="AH42" s="37"/>
      <c r="AI42" s="37"/>
      <c r="AJ42" s="37"/>
      <c r="AK42" s="37"/>
      <c r="AL42" s="37"/>
      <c r="AM42" s="37"/>
      <c r="AN42" s="37"/>
      <c r="AO42" s="37"/>
      <c r="AP42" s="37"/>
    </row>
    <row r="43" spans="2:42" s="40" customFormat="1" ht="14.4">
      <c r="B43" s="1180">
        <f>'2)Sources &amp; Uses'!D17</f>
        <v>0</v>
      </c>
      <c r="D43" s="87">
        <f>'2)Sources &amp; Uses'!F17</f>
        <v>0</v>
      </c>
      <c r="E43" s="87">
        <f t="shared" si="1"/>
        <v>0</v>
      </c>
      <c r="F43" s="291">
        <f t="shared" si="2"/>
        <v>0</v>
      </c>
      <c r="G43" s="46"/>
      <c r="H43" s="39" t="s">
        <v>600</v>
      </c>
      <c r="I43" s="39"/>
      <c r="J43" s="87">
        <f>'2)Sources &amp; Uses'!E45</f>
        <v>0</v>
      </c>
      <c r="K43" s="508"/>
      <c r="L43" s="508"/>
      <c r="M43" s="508"/>
      <c r="N43" s="508"/>
      <c r="O43" s="508"/>
      <c r="P43" s="37"/>
      <c r="Q43" s="37"/>
      <c r="R43" s="37"/>
      <c r="S43" s="37"/>
      <c r="T43" s="37"/>
      <c r="U43" s="277"/>
      <c r="V43" s="37"/>
      <c r="W43" s="37"/>
      <c r="X43" s="37"/>
      <c r="Y43" s="37"/>
      <c r="Z43" s="37"/>
      <c r="AA43" s="37"/>
      <c r="AB43" s="37"/>
      <c r="AC43" s="37"/>
      <c r="AD43" s="37"/>
      <c r="AE43" s="37"/>
      <c r="AF43" s="37"/>
      <c r="AG43" s="37"/>
      <c r="AH43" s="37"/>
      <c r="AI43" s="37"/>
      <c r="AJ43" s="37"/>
      <c r="AK43" s="37"/>
      <c r="AL43" s="37"/>
      <c r="AM43" s="37"/>
      <c r="AN43" s="37"/>
      <c r="AO43" s="37"/>
      <c r="AP43" s="37"/>
    </row>
    <row r="44" spans="2:42" s="40" customFormat="1" ht="14.4">
      <c r="B44" s="39" t="s">
        <v>493</v>
      </c>
      <c r="D44" s="87">
        <f>SUM('2)Sources &amp; Uses'!F18+'2)Sources &amp; Uses'!F19)</f>
        <v>0</v>
      </c>
      <c r="E44" s="87">
        <f t="shared" si="1"/>
        <v>0</v>
      </c>
      <c r="F44" s="291">
        <f t="shared" si="2"/>
        <v>0</v>
      </c>
      <c r="G44" s="46"/>
      <c r="H44" s="39" t="s">
        <v>601</v>
      </c>
      <c r="I44" s="39"/>
      <c r="J44" s="1109"/>
      <c r="L44" s="37"/>
      <c r="M44" s="37"/>
      <c r="N44" s="37"/>
      <c r="O44" s="37"/>
      <c r="P44" s="37"/>
      <c r="Q44" s="37"/>
      <c r="R44" s="37"/>
      <c r="S44" s="37"/>
      <c r="T44" s="37"/>
      <c r="U44" s="277"/>
      <c r="V44" s="37"/>
      <c r="W44" s="37"/>
      <c r="X44" s="37"/>
      <c r="Y44" s="37"/>
      <c r="Z44" s="37"/>
      <c r="AA44" s="37"/>
      <c r="AB44" s="37"/>
      <c r="AC44" s="37"/>
      <c r="AD44" s="37"/>
      <c r="AE44" s="37"/>
      <c r="AF44" s="37"/>
      <c r="AG44" s="37"/>
      <c r="AH44" s="37"/>
      <c r="AI44" s="37"/>
      <c r="AJ44" s="37"/>
      <c r="AK44" s="37"/>
      <c r="AL44" s="37"/>
      <c r="AM44" s="37"/>
      <c r="AN44" s="37"/>
      <c r="AO44" s="37"/>
      <c r="AP44" s="37"/>
    </row>
    <row r="45" spans="2:42" s="40" customFormat="1" ht="14.4">
      <c r="B45" s="90" t="s">
        <v>291</v>
      </c>
      <c r="D45" s="44"/>
      <c r="E45" s="44"/>
      <c r="F45" s="46"/>
      <c r="G45" s="46"/>
      <c r="H45" s="39" t="s">
        <v>602</v>
      </c>
      <c r="I45" s="39"/>
      <c r="K45" s="44"/>
      <c r="L45" s="37"/>
      <c r="M45" s="37"/>
      <c r="N45" s="37"/>
      <c r="O45" s="37"/>
      <c r="P45" s="37"/>
      <c r="Q45" s="37"/>
      <c r="R45" s="37"/>
      <c r="S45" s="37"/>
      <c r="T45" s="37"/>
      <c r="U45" s="277"/>
      <c r="V45" s="37"/>
      <c r="W45" s="37"/>
      <c r="X45" s="37"/>
      <c r="Y45" s="37"/>
      <c r="Z45" s="37"/>
      <c r="AA45" s="37"/>
      <c r="AB45" s="37"/>
      <c r="AC45" s="37"/>
      <c r="AD45" s="37"/>
      <c r="AE45" s="37"/>
      <c r="AF45" s="37"/>
      <c r="AG45" s="37"/>
      <c r="AH45" s="37"/>
      <c r="AI45" s="37"/>
      <c r="AJ45" s="37"/>
      <c r="AK45" s="37"/>
      <c r="AL45" s="37"/>
      <c r="AM45" s="37"/>
      <c r="AN45" s="37"/>
      <c r="AO45" s="37"/>
      <c r="AP45" s="37"/>
    </row>
    <row r="46" spans="2:42" s="40" customFormat="1" ht="14.4">
      <c r="B46" s="40" t="s">
        <v>185</v>
      </c>
      <c r="D46" s="87">
        <f>'2)Sources &amp; Uses'!F23</f>
        <v>0</v>
      </c>
      <c r="E46" s="87">
        <f>IFERROR(D46/Units,0)</f>
        <v>0</v>
      </c>
      <c r="F46" s="291">
        <f>IFERROR(D46/$D$50,0)</f>
        <v>0</v>
      </c>
      <c r="G46" s="46"/>
      <c r="H46" s="50" t="s">
        <v>603</v>
      </c>
      <c r="I46" s="50"/>
      <c r="J46" s="593">
        <f>SUM(J43:J44)</f>
        <v>0</v>
      </c>
      <c r="K46" s="44"/>
      <c r="L46" s="37"/>
      <c r="M46" s="37"/>
      <c r="N46" s="37"/>
      <c r="O46" s="37"/>
      <c r="P46" s="37"/>
      <c r="Q46" s="37"/>
      <c r="R46" s="37"/>
      <c r="S46" s="37"/>
      <c r="T46" s="37"/>
      <c r="U46" s="277"/>
      <c r="V46" s="37"/>
      <c r="W46" s="37"/>
      <c r="X46" s="37"/>
      <c r="Y46" s="37"/>
      <c r="Z46" s="37"/>
      <c r="AA46" s="37"/>
      <c r="AB46" s="37"/>
      <c r="AC46" s="37"/>
      <c r="AD46" s="37"/>
      <c r="AE46" s="37"/>
      <c r="AF46" s="37"/>
      <c r="AG46" s="37"/>
      <c r="AH46" s="37"/>
      <c r="AI46" s="37"/>
      <c r="AJ46" s="37"/>
      <c r="AK46" s="37"/>
      <c r="AL46" s="37"/>
      <c r="AM46" s="37"/>
      <c r="AN46" s="37"/>
      <c r="AO46" s="37"/>
      <c r="AP46" s="37"/>
    </row>
    <row r="47" spans="2:42" s="40" customFormat="1" ht="14.4">
      <c r="B47" s="39" t="s">
        <v>292</v>
      </c>
      <c r="D47" s="87">
        <f>'2)Sources &amp; Uses'!F24</f>
        <v>0</v>
      </c>
      <c r="E47" s="87">
        <f>IFERROR(D47/Units,0)</f>
        <v>0</v>
      </c>
      <c r="F47" s="291">
        <f>IFERROR(D47/$D$50,0)</f>
        <v>0</v>
      </c>
      <c r="G47" s="46"/>
      <c r="H47" s="591" t="s">
        <v>605</v>
      </c>
      <c r="I47" s="591"/>
      <c r="J47" s="592" t="e">
        <f>J46/TDC</f>
        <v>#DIV/0!</v>
      </c>
      <c r="K47" s="44"/>
      <c r="L47" s="37"/>
      <c r="M47" s="37"/>
      <c r="N47" s="37"/>
      <c r="O47" s="37"/>
      <c r="P47" s="37"/>
      <c r="Q47" s="37"/>
      <c r="R47" s="37"/>
      <c r="S47" s="37"/>
      <c r="T47" s="37"/>
      <c r="U47" s="277"/>
      <c r="V47" s="37"/>
      <c r="W47" s="37"/>
      <c r="X47" s="37"/>
      <c r="Y47" s="37"/>
      <c r="Z47" s="37"/>
      <c r="AA47" s="37"/>
      <c r="AB47" s="37"/>
      <c r="AC47" s="37"/>
      <c r="AD47" s="37"/>
      <c r="AE47" s="37"/>
      <c r="AF47" s="37"/>
      <c r="AG47" s="37"/>
      <c r="AH47" s="37"/>
      <c r="AI47" s="37"/>
      <c r="AJ47" s="37"/>
      <c r="AK47" s="37"/>
      <c r="AL47" s="37"/>
      <c r="AM47" s="37"/>
      <c r="AN47" s="37"/>
      <c r="AO47" s="37"/>
      <c r="AP47" s="37"/>
    </row>
    <row r="48" spans="2:42" s="40" customFormat="1" ht="14.4">
      <c r="B48" s="40" t="s">
        <v>179</v>
      </c>
      <c r="D48" s="87">
        <f>'2)Sources &amp; Uses'!F33</f>
        <v>0</v>
      </c>
      <c r="E48" s="87">
        <f>IFERROR(D48/Units,0)</f>
        <v>0</v>
      </c>
      <c r="F48" s="291">
        <f>IFERROR(D48/$D$50,0)</f>
        <v>0</v>
      </c>
      <c r="G48" s="46"/>
      <c r="H48" s="584" t="s">
        <v>606</v>
      </c>
      <c r="I48" s="584"/>
      <c r="J48" s="586">
        <f>J46</f>
        <v>0</v>
      </c>
      <c r="K48" s="44"/>
      <c r="L48" s="37"/>
      <c r="M48" s="37"/>
      <c r="N48" s="37"/>
      <c r="O48" s="37"/>
      <c r="P48" s="37"/>
      <c r="Q48" s="37"/>
      <c r="R48" s="37"/>
      <c r="S48" s="37"/>
      <c r="T48" s="37"/>
      <c r="U48" s="277"/>
      <c r="V48" s="37"/>
      <c r="W48" s="37"/>
      <c r="X48" s="37"/>
      <c r="Y48" s="37"/>
      <c r="Z48" s="37"/>
      <c r="AA48" s="37"/>
      <c r="AB48" s="37"/>
      <c r="AC48" s="37"/>
      <c r="AD48" s="37"/>
      <c r="AE48" s="37"/>
      <c r="AF48" s="37"/>
      <c r="AG48" s="37"/>
      <c r="AH48" s="37"/>
      <c r="AI48" s="37"/>
      <c r="AJ48" s="37"/>
      <c r="AK48" s="37"/>
      <c r="AL48" s="37"/>
      <c r="AM48" s="37"/>
      <c r="AN48" s="37"/>
      <c r="AO48" s="37"/>
      <c r="AP48" s="37"/>
    </row>
    <row r="49" spans="1:42" s="40" customFormat="1" ht="14.4">
      <c r="B49" s="47" t="s">
        <v>180</v>
      </c>
      <c r="C49" s="47"/>
      <c r="D49" s="88">
        <f>SUM('2)Sources &amp; Uses'!F25:F32)</f>
        <v>0</v>
      </c>
      <c r="E49" s="88">
        <f>IFERROR(D49/Units,0)</f>
        <v>0</v>
      </c>
      <c r="F49" s="292">
        <f>IFERROR(D49/$D$50,0)</f>
        <v>0</v>
      </c>
      <c r="G49" s="46"/>
      <c r="K49" s="44"/>
      <c r="L49" s="37"/>
      <c r="M49" s="37"/>
      <c r="N49" s="37"/>
      <c r="O49" s="37"/>
      <c r="P49" s="37"/>
      <c r="Q49" s="37"/>
      <c r="R49" s="37"/>
      <c r="S49" s="37"/>
      <c r="T49" s="37"/>
      <c r="U49" s="277"/>
      <c r="V49" s="37"/>
      <c r="W49" s="37"/>
      <c r="X49" s="37"/>
      <c r="Y49" s="37"/>
      <c r="Z49" s="37"/>
      <c r="AA49" s="37"/>
      <c r="AB49" s="37"/>
      <c r="AC49" s="37"/>
      <c r="AD49" s="37"/>
      <c r="AE49" s="37"/>
      <c r="AF49" s="37"/>
      <c r="AG49" s="37"/>
      <c r="AH49" s="37"/>
      <c r="AI49" s="37"/>
      <c r="AJ49" s="37"/>
      <c r="AK49" s="37"/>
      <c r="AL49" s="37"/>
      <c r="AM49" s="37"/>
      <c r="AN49" s="37"/>
      <c r="AO49" s="37"/>
      <c r="AP49" s="37"/>
    </row>
    <row r="50" spans="1:42" s="40" customFormat="1" ht="14.4">
      <c r="A50" s="59"/>
      <c r="B50" s="92" t="s">
        <v>178</v>
      </c>
      <c r="C50" s="92"/>
      <c r="D50" s="354">
        <f>SUM(D37:D49)</f>
        <v>0</v>
      </c>
      <c r="E50" s="87">
        <f>IFERROR(D50/Units,0)</f>
        <v>0</v>
      </c>
      <c r="F50" s="291">
        <f>IFERROR(D50/$D$50,0)</f>
        <v>0</v>
      </c>
      <c r="G50" s="46"/>
      <c r="K50" s="44"/>
      <c r="L50" s="37"/>
      <c r="M50" s="37"/>
      <c r="N50" s="37"/>
      <c r="O50" s="37"/>
      <c r="P50" s="37"/>
      <c r="Q50" s="37"/>
      <c r="R50" s="37"/>
      <c r="S50" s="37"/>
      <c r="T50" s="37"/>
      <c r="U50" s="277"/>
      <c r="V50" s="37"/>
      <c r="W50" s="37"/>
      <c r="X50" s="37"/>
      <c r="Y50" s="37"/>
      <c r="Z50" s="37"/>
      <c r="AA50" s="37"/>
      <c r="AB50" s="37"/>
      <c r="AC50" s="37"/>
      <c r="AD50" s="37"/>
      <c r="AE50" s="37"/>
      <c r="AF50" s="37"/>
      <c r="AG50" s="37"/>
      <c r="AH50" s="37"/>
      <c r="AI50" s="37"/>
      <c r="AJ50" s="37"/>
      <c r="AK50" s="37"/>
      <c r="AL50" s="37"/>
      <c r="AM50" s="37"/>
      <c r="AN50" s="37"/>
      <c r="AO50" s="37"/>
      <c r="AP50" s="37"/>
    </row>
    <row r="51" spans="1:42" s="59" customFormat="1" ht="14.4" customHeight="1">
      <c r="A51" s="40"/>
      <c r="B51" s="48"/>
      <c r="C51" s="48"/>
      <c r="D51" s="49"/>
      <c r="E51" s="49"/>
      <c r="F51" s="40"/>
      <c r="G51" s="93"/>
      <c r="K51" s="94"/>
      <c r="L51" s="263"/>
      <c r="M51" s="263"/>
      <c r="N51" s="263"/>
      <c r="O51" s="263"/>
      <c r="P51" s="263"/>
      <c r="Q51" s="263"/>
      <c r="R51" s="263"/>
      <c r="S51" s="263"/>
      <c r="T51" s="263"/>
      <c r="U51" s="277"/>
      <c r="V51" s="263"/>
      <c r="W51" s="263"/>
      <c r="X51" s="263"/>
      <c r="Y51" s="263"/>
      <c r="Z51" s="263"/>
      <c r="AA51" s="263"/>
      <c r="AB51" s="263"/>
      <c r="AC51" s="263"/>
      <c r="AD51" s="263"/>
      <c r="AE51" s="263"/>
      <c r="AF51" s="263"/>
      <c r="AG51" s="263"/>
      <c r="AH51" s="263"/>
      <c r="AI51" s="263"/>
      <c r="AJ51" s="263"/>
      <c r="AK51" s="263"/>
      <c r="AL51" s="263"/>
      <c r="AM51" s="263"/>
      <c r="AN51" s="263"/>
      <c r="AO51" s="263"/>
      <c r="AP51" s="263"/>
    </row>
    <row r="52" spans="1:42" s="40" customFormat="1" ht="14.4">
      <c r="B52" s="215" t="s">
        <v>181</v>
      </c>
      <c r="C52" s="216"/>
      <c r="D52" s="217">
        <f>D50-D32</f>
        <v>0</v>
      </c>
      <c r="E52" s="217">
        <f>IFERROR(D52/Units,0)</f>
        <v>0</v>
      </c>
      <c r="F52" s="218">
        <f>IFERROR(D52/D32,0)</f>
        <v>0</v>
      </c>
      <c r="K52" s="44"/>
      <c r="L52" s="37"/>
      <c r="M52" s="37"/>
      <c r="N52" s="37"/>
      <c r="O52" s="37"/>
      <c r="P52" s="37"/>
      <c r="Q52" s="37"/>
      <c r="R52" s="37"/>
      <c r="S52" s="37"/>
      <c r="T52" s="37"/>
      <c r="U52" s="277"/>
      <c r="V52" s="37"/>
      <c r="W52" s="37"/>
      <c r="X52" s="37"/>
      <c r="Y52" s="37"/>
      <c r="Z52" s="37"/>
      <c r="AA52" s="37"/>
      <c r="AB52" s="37"/>
      <c r="AC52" s="37"/>
      <c r="AD52" s="37"/>
      <c r="AE52" s="37"/>
      <c r="AF52" s="37"/>
      <c r="AG52" s="37"/>
      <c r="AH52" s="37"/>
      <c r="AI52" s="37"/>
      <c r="AJ52" s="37"/>
      <c r="AK52" s="37"/>
      <c r="AL52" s="37"/>
      <c r="AM52" s="37"/>
      <c r="AN52" s="37"/>
      <c r="AO52" s="37"/>
      <c r="AP52" s="37"/>
    </row>
    <row r="53" spans="1:42" s="40" customFormat="1" ht="10.199999999999999" customHeight="1">
      <c r="B53" s="215"/>
      <c r="C53" s="216"/>
      <c r="D53" s="217"/>
      <c r="E53" s="217"/>
      <c r="F53" s="218"/>
      <c r="K53" s="44"/>
      <c r="L53" s="37"/>
      <c r="M53" s="37"/>
      <c r="N53" s="37"/>
      <c r="O53" s="37"/>
      <c r="P53" s="37"/>
      <c r="Q53" s="37"/>
      <c r="R53" s="37"/>
      <c r="S53" s="37"/>
      <c r="T53" s="37"/>
      <c r="U53" s="277"/>
      <c r="V53" s="37"/>
      <c r="W53" s="37"/>
      <c r="X53" s="37"/>
      <c r="Y53" s="37"/>
      <c r="Z53" s="37"/>
      <c r="AA53" s="37"/>
      <c r="AB53" s="37"/>
      <c r="AC53" s="37"/>
      <c r="AD53" s="37"/>
      <c r="AE53" s="37"/>
      <c r="AF53" s="37"/>
      <c r="AG53" s="37"/>
      <c r="AH53" s="37"/>
      <c r="AI53" s="37"/>
      <c r="AJ53" s="37"/>
      <c r="AK53" s="37"/>
      <c r="AL53" s="37"/>
      <c r="AM53" s="37"/>
      <c r="AN53" s="37"/>
      <c r="AO53" s="37"/>
      <c r="AP53" s="37"/>
    </row>
    <row r="54" spans="1:42" s="40" customFormat="1" ht="21.75" customHeight="1">
      <c r="B54" s="595" t="s">
        <v>508</v>
      </c>
      <c r="C54" s="587"/>
      <c r="D54" s="587"/>
      <c r="E54" s="498"/>
      <c r="F54" s="587"/>
      <c r="G54" s="498"/>
      <c r="H54" s="498"/>
      <c r="I54" s="511"/>
      <c r="J54" s="511"/>
      <c r="L54" s="37"/>
      <c r="M54" s="37"/>
      <c r="N54" s="37"/>
      <c r="O54" s="37"/>
      <c r="P54" s="37"/>
      <c r="Q54" s="37"/>
      <c r="R54" s="37"/>
      <c r="S54" s="37"/>
      <c r="T54" s="37"/>
      <c r="U54" s="277"/>
      <c r="V54" s="37"/>
      <c r="W54" s="37"/>
      <c r="X54" s="37"/>
      <c r="Y54" s="37"/>
      <c r="Z54" s="37"/>
      <c r="AA54" s="37"/>
      <c r="AB54" s="37"/>
      <c r="AC54" s="37"/>
      <c r="AD54" s="37"/>
      <c r="AE54" s="37"/>
      <c r="AF54" s="37"/>
      <c r="AG54" s="37"/>
      <c r="AH54" s="37"/>
      <c r="AI54" s="37"/>
      <c r="AJ54" s="37"/>
      <c r="AK54" s="37"/>
      <c r="AL54" s="37"/>
      <c r="AM54" s="37"/>
      <c r="AN54" s="37"/>
      <c r="AO54" s="37"/>
      <c r="AP54" s="37"/>
    </row>
    <row r="55" spans="1:42" s="40" customFormat="1" ht="33.75" customHeight="1">
      <c r="A55" s="59"/>
      <c r="B55" s="1264"/>
      <c r="C55" s="1265"/>
      <c r="D55" s="1265"/>
      <c r="E55" s="1265"/>
      <c r="F55" s="1265"/>
      <c r="G55" s="1265"/>
      <c r="H55" s="1265"/>
      <c r="I55" s="1265"/>
      <c r="J55" s="1265"/>
      <c r="L55" s="37"/>
      <c r="M55" s="37"/>
      <c r="N55" s="37"/>
      <c r="O55" s="37"/>
      <c r="P55" s="37"/>
      <c r="Q55" s="37"/>
      <c r="R55" s="37"/>
      <c r="S55" s="37"/>
      <c r="T55" s="37"/>
      <c r="U55" s="277"/>
      <c r="V55" s="37"/>
      <c r="W55" s="37"/>
      <c r="X55" s="37"/>
      <c r="Y55" s="37"/>
      <c r="Z55" s="37"/>
      <c r="AA55" s="37"/>
      <c r="AB55" s="37"/>
      <c r="AC55" s="37"/>
      <c r="AD55" s="37"/>
      <c r="AE55" s="37"/>
      <c r="AF55" s="37"/>
      <c r="AG55" s="37"/>
      <c r="AH55" s="37"/>
      <c r="AI55" s="37"/>
      <c r="AJ55" s="37"/>
      <c r="AK55" s="37"/>
      <c r="AL55" s="37"/>
      <c r="AM55" s="37"/>
      <c r="AN55" s="37"/>
      <c r="AO55" s="37"/>
      <c r="AP55" s="37"/>
    </row>
    <row r="56" spans="1:42" s="40" customFormat="1" ht="33.75" customHeight="1">
      <c r="A56" s="59"/>
      <c r="B56" s="1264"/>
      <c r="C56" s="1265"/>
      <c r="D56" s="1265"/>
      <c r="E56" s="1265"/>
      <c r="F56" s="1265"/>
      <c r="G56" s="1265"/>
      <c r="H56" s="1265"/>
      <c r="I56" s="1265"/>
      <c r="J56" s="1265"/>
      <c r="L56" s="37"/>
      <c r="M56" s="37"/>
      <c r="N56" s="37"/>
      <c r="O56" s="37"/>
      <c r="P56" s="37"/>
      <c r="Q56" s="37"/>
      <c r="R56" s="37"/>
      <c r="S56" s="37"/>
      <c r="T56" s="37"/>
      <c r="U56" s="277"/>
      <c r="V56" s="37"/>
      <c r="W56" s="37"/>
      <c r="X56" s="37"/>
      <c r="Y56" s="37"/>
      <c r="Z56" s="37"/>
      <c r="AA56" s="37"/>
      <c r="AB56" s="37"/>
      <c r="AC56" s="37"/>
      <c r="AD56" s="37"/>
      <c r="AE56" s="37"/>
      <c r="AF56" s="37"/>
      <c r="AG56" s="37"/>
      <c r="AH56" s="37"/>
      <c r="AI56" s="37"/>
      <c r="AJ56" s="37"/>
      <c r="AK56" s="37"/>
      <c r="AL56" s="37"/>
      <c r="AM56" s="37"/>
      <c r="AN56" s="37"/>
      <c r="AO56" s="37"/>
      <c r="AP56" s="37"/>
    </row>
    <row r="57" spans="1:42" s="40" customFormat="1" ht="33.75" customHeight="1">
      <c r="A57" s="59"/>
      <c r="B57" s="1264"/>
      <c r="C57" s="1265"/>
      <c r="D57" s="1265"/>
      <c r="E57" s="1265"/>
      <c r="F57" s="1265"/>
      <c r="G57" s="1265"/>
      <c r="H57" s="1265"/>
      <c r="I57" s="1265"/>
      <c r="J57" s="1265"/>
      <c r="L57" s="37"/>
      <c r="M57" s="37"/>
      <c r="N57" s="37"/>
      <c r="O57" s="37"/>
      <c r="P57" s="37"/>
      <c r="Q57" s="37"/>
      <c r="R57" s="37"/>
      <c r="S57" s="37"/>
      <c r="T57" s="37"/>
      <c r="U57" s="277"/>
      <c r="V57" s="37"/>
      <c r="W57" s="37"/>
      <c r="X57" s="37"/>
      <c r="Y57" s="37"/>
      <c r="Z57" s="37"/>
      <c r="AA57" s="37"/>
      <c r="AB57" s="37"/>
      <c r="AC57" s="37"/>
      <c r="AD57" s="37"/>
      <c r="AE57" s="37"/>
      <c r="AF57" s="37"/>
      <c r="AG57" s="37"/>
      <c r="AH57" s="37"/>
      <c r="AI57" s="37"/>
      <c r="AJ57" s="37"/>
      <c r="AK57" s="37"/>
      <c r="AL57" s="37"/>
      <c r="AM57" s="37"/>
      <c r="AN57" s="37"/>
      <c r="AO57" s="37"/>
      <c r="AP57" s="37"/>
    </row>
    <row r="58" spans="1:42" s="40" customFormat="1" ht="14.4">
      <c r="B58" s="41"/>
      <c r="G58" s="46"/>
      <c r="L58" s="37"/>
      <c r="M58" s="37"/>
      <c r="N58" s="37"/>
      <c r="O58" s="37"/>
      <c r="P58" s="37"/>
      <c r="Q58" s="37"/>
      <c r="R58" s="37"/>
      <c r="S58" s="37"/>
      <c r="T58" s="37"/>
      <c r="U58" s="277"/>
      <c r="V58" s="37"/>
      <c r="W58" s="37"/>
      <c r="X58" s="37"/>
      <c r="Y58" s="37"/>
      <c r="Z58" s="37"/>
      <c r="AA58" s="37"/>
      <c r="AB58" s="37"/>
      <c r="AC58" s="37"/>
      <c r="AD58" s="37"/>
      <c r="AE58" s="37"/>
      <c r="AF58" s="37"/>
      <c r="AG58" s="37"/>
      <c r="AH58" s="37"/>
      <c r="AI58" s="37"/>
      <c r="AJ58" s="37"/>
      <c r="AK58" s="37"/>
      <c r="AL58" s="37"/>
      <c r="AM58" s="37"/>
      <c r="AN58" s="37"/>
      <c r="AO58" s="37"/>
      <c r="AP58" s="37"/>
    </row>
    <row r="59" spans="1:42" s="40" customFormat="1" ht="17.399999999999999">
      <c r="B59" s="498" t="s">
        <v>505</v>
      </c>
      <c r="N59" s="37"/>
      <c r="O59" s="37"/>
      <c r="P59" s="37"/>
      <c r="Q59" s="37"/>
      <c r="R59" s="37"/>
      <c r="S59" s="37"/>
      <c r="T59" s="37"/>
      <c r="U59" s="277"/>
      <c r="V59" s="37"/>
      <c r="W59" s="37"/>
      <c r="X59" s="37"/>
      <c r="Y59" s="37"/>
      <c r="Z59" s="37"/>
      <c r="AA59" s="37"/>
      <c r="AB59" s="37"/>
      <c r="AC59" s="37"/>
      <c r="AD59" s="37"/>
      <c r="AE59" s="37"/>
      <c r="AF59" s="37"/>
      <c r="AG59" s="37"/>
      <c r="AH59" s="37"/>
      <c r="AI59" s="37"/>
      <c r="AJ59" s="37"/>
      <c r="AK59" s="37"/>
      <c r="AL59" s="37"/>
      <c r="AM59" s="37"/>
      <c r="AN59" s="37"/>
      <c r="AO59" s="37"/>
      <c r="AP59" s="37"/>
    </row>
    <row r="60" spans="1:42" s="40" customFormat="1" ht="33.75" customHeight="1">
      <c r="A60" s="379"/>
      <c r="B60" s="1266" t="s">
        <v>494</v>
      </c>
      <c r="C60" s="1266"/>
      <c r="D60" s="1266"/>
      <c r="E60" s="1263"/>
      <c r="F60" s="1263"/>
      <c r="G60" s="1263"/>
      <c r="H60" s="1263"/>
      <c r="I60" s="1263"/>
      <c r="J60" s="1263"/>
      <c r="K60" s="1263"/>
      <c r="L60" s="376"/>
      <c r="N60" s="37"/>
      <c r="O60" s="37"/>
      <c r="P60" s="37"/>
      <c r="Q60" s="37"/>
      <c r="R60" s="37"/>
      <c r="S60" s="37"/>
      <c r="T60" s="37"/>
      <c r="U60" s="277"/>
      <c r="V60" s="37"/>
      <c r="W60" s="37"/>
      <c r="X60" s="37"/>
      <c r="Y60" s="37"/>
      <c r="Z60" s="37"/>
      <c r="AA60" s="37"/>
      <c r="AB60" s="37"/>
      <c r="AC60" s="37"/>
      <c r="AD60" s="37"/>
      <c r="AE60" s="37"/>
      <c r="AF60" s="37"/>
      <c r="AG60" s="37"/>
      <c r="AH60" s="37"/>
      <c r="AI60" s="37"/>
      <c r="AJ60" s="37"/>
      <c r="AK60" s="37"/>
      <c r="AL60" s="37"/>
      <c r="AM60" s="37"/>
      <c r="AN60" s="37"/>
      <c r="AO60" s="37"/>
      <c r="AP60" s="37"/>
    </row>
    <row r="61" spans="1:42" s="40" customFormat="1" ht="33.75" customHeight="1">
      <c r="A61" s="379"/>
      <c r="B61" s="1267" t="s">
        <v>696</v>
      </c>
      <c r="C61" s="1267"/>
      <c r="D61" s="1267"/>
      <c r="E61" s="1263"/>
      <c r="F61" s="1263"/>
      <c r="G61" s="1263"/>
      <c r="H61" s="1263"/>
      <c r="I61" s="1263"/>
      <c r="J61" s="1263"/>
      <c r="K61" s="1263"/>
      <c r="L61" s="376"/>
      <c r="N61" s="37"/>
      <c r="O61" s="37"/>
      <c r="P61" s="37"/>
      <c r="Q61" s="37"/>
      <c r="R61" s="37"/>
      <c r="S61" s="37"/>
      <c r="T61" s="37"/>
      <c r="U61" s="277"/>
      <c r="V61" s="37"/>
      <c r="W61" s="37"/>
      <c r="X61" s="37"/>
      <c r="Y61" s="37"/>
      <c r="Z61" s="37"/>
      <c r="AA61" s="37"/>
      <c r="AB61" s="37"/>
      <c r="AC61" s="37"/>
      <c r="AD61" s="37"/>
      <c r="AE61" s="37"/>
      <c r="AF61" s="37"/>
      <c r="AG61" s="37"/>
      <c r="AH61" s="37"/>
      <c r="AI61" s="37"/>
      <c r="AJ61" s="37"/>
      <c r="AK61" s="37"/>
      <c r="AL61" s="37"/>
      <c r="AM61" s="37"/>
      <c r="AN61" s="37"/>
      <c r="AO61" s="37"/>
      <c r="AP61" s="37"/>
    </row>
    <row r="62" spans="1:42" s="40" customFormat="1" ht="33.75" customHeight="1">
      <c r="A62" s="379"/>
      <c r="B62" s="1268" t="s">
        <v>495</v>
      </c>
      <c r="C62" s="1268"/>
      <c r="D62" s="1268"/>
      <c r="E62" s="1263"/>
      <c r="F62" s="1263"/>
      <c r="G62" s="1263"/>
      <c r="H62" s="1263"/>
      <c r="I62" s="1263"/>
      <c r="J62" s="1263"/>
      <c r="K62" s="1263"/>
      <c r="L62" s="376"/>
      <c r="N62" s="37"/>
      <c r="O62" s="37"/>
      <c r="P62" s="37"/>
      <c r="Q62" s="37"/>
      <c r="R62" s="37"/>
      <c r="S62" s="37"/>
      <c r="T62" s="37"/>
      <c r="U62" s="277"/>
      <c r="V62" s="37"/>
      <c r="W62" s="37"/>
      <c r="X62" s="37"/>
      <c r="Y62" s="37"/>
      <c r="Z62" s="37"/>
      <c r="AA62" s="37"/>
      <c r="AB62" s="37"/>
      <c r="AC62" s="37"/>
      <c r="AD62" s="37"/>
      <c r="AE62" s="37"/>
      <c r="AF62" s="37"/>
      <c r="AG62" s="37"/>
      <c r="AH62" s="37"/>
      <c r="AI62" s="37"/>
      <c r="AJ62" s="37"/>
      <c r="AK62" s="37"/>
      <c r="AL62" s="37"/>
      <c r="AM62" s="37"/>
      <c r="AN62" s="37"/>
      <c r="AO62" s="37"/>
      <c r="AP62" s="37"/>
    </row>
    <row r="63" spans="1:42" s="40" customFormat="1" ht="27" customHeight="1">
      <c r="A63" s="379"/>
      <c r="B63" s="1260" t="s">
        <v>612</v>
      </c>
      <c r="C63" s="1260"/>
      <c r="D63" s="1260"/>
      <c r="E63" s="1260"/>
      <c r="F63" s="1260"/>
      <c r="G63" s="1260"/>
      <c r="H63" s="1260"/>
      <c r="I63" s="1260"/>
      <c r="J63" s="56"/>
      <c r="K63" s="39"/>
      <c r="L63" s="376"/>
      <c r="N63" s="37"/>
      <c r="O63" s="37"/>
      <c r="P63" s="37"/>
      <c r="Q63" s="37"/>
      <c r="R63" s="37"/>
      <c r="S63" s="37"/>
      <c r="T63" s="37"/>
      <c r="U63" s="277"/>
      <c r="V63" s="37"/>
      <c r="W63" s="37"/>
      <c r="X63" s="37"/>
      <c r="Y63" s="37"/>
      <c r="Z63" s="37"/>
      <c r="AA63" s="37"/>
      <c r="AB63" s="37"/>
      <c r="AC63" s="37"/>
      <c r="AD63" s="37"/>
      <c r="AE63" s="37"/>
      <c r="AF63" s="37"/>
      <c r="AG63" s="37"/>
      <c r="AH63" s="37"/>
      <c r="AI63" s="37"/>
      <c r="AJ63" s="37"/>
      <c r="AK63" s="37"/>
      <c r="AL63" s="37"/>
      <c r="AM63" s="37"/>
      <c r="AN63" s="37"/>
      <c r="AO63" s="37"/>
      <c r="AP63" s="37"/>
    </row>
    <row r="64" spans="1:42" s="40" customFormat="1" ht="33.75" customHeight="1">
      <c r="A64" s="379"/>
      <c r="B64" s="1262" t="s">
        <v>592</v>
      </c>
      <c r="C64" s="1262"/>
      <c r="D64" s="1262"/>
      <c r="E64" s="1263"/>
      <c r="F64" s="1263"/>
      <c r="G64" s="1263"/>
      <c r="H64" s="1263"/>
      <c r="I64" s="1263"/>
      <c r="J64" s="1263"/>
      <c r="K64" s="1263"/>
      <c r="L64" s="376"/>
      <c r="M64" s="37"/>
      <c r="N64" s="37"/>
      <c r="O64" s="37"/>
      <c r="P64" s="37"/>
      <c r="Q64" s="37"/>
      <c r="R64" s="37"/>
      <c r="S64" s="37"/>
      <c r="T64" s="37"/>
      <c r="U64" s="277"/>
      <c r="V64" s="37"/>
      <c r="W64" s="37"/>
      <c r="X64" s="37"/>
      <c r="Y64" s="37"/>
      <c r="Z64" s="37"/>
      <c r="AA64" s="37"/>
      <c r="AB64" s="37"/>
      <c r="AC64" s="37"/>
      <c r="AD64" s="37"/>
      <c r="AE64" s="37"/>
      <c r="AF64" s="37"/>
      <c r="AG64" s="37"/>
      <c r="AH64" s="37"/>
      <c r="AI64" s="37"/>
      <c r="AJ64" s="37"/>
      <c r="AK64" s="37"/>
      <c r="AL64" s="37"/>
      <c r="AM64" s="37"/>
      <c r="AN64" s="37"/>
      <c r="AO64" s="37"/>
      <c r="AP64" s="37"/>
    </row>
    <row r="65" spans="1:42" s="40" customFormat="1" ht="33.75" customHeight="1">
      <c r="A65" s="379"/>
      <c r="B65" s="1262" t="s">
        <v>496</v>
      </c>
      <c r="C65" s="1262"/>
      <c r="D65" s="1262"/>
      <c r="E65" s="1263"/>
      <c r="F65" s="1263"/>
      <c r="G65" s="1263"/>
      <c r="H65" s="1263"/>
      <c r="I65" s="1263"/>
      <c r="J65" s="1263"/>
      <c r="K65" s="1263"/>
      <c r="L65" s="376"/>
      <c r="M65" s="37"/>
      <c r="N65" s="37"/>
      <c r="O65" s="37"/>
      <c r="P65" s="37"/>
      <c r="Q65" s="37"/>
      <c r="R65" s="37"/>
      <c r="S65" s="37"/>
      <c r="T65" s="37"/>
      <c r="U65" s="277"/>
      <c r="V65" s="37"/>
      <c r="W65" s="37"/>
      <c r="X65" s="37"/>
      <c r="Y65" s="37"/>
      <c r="Z65" s="37"/>
      <c r="AA65" s="37"/>
      <c r="AB65" s="37"/>
      <c r="AC65" s="37"/>
      <c r="AD65" s="37"/>
      <c r="AE65" s="37"/>
      <c r="AF65" s="37"/>
      <c r="AG65" s="37"/>
      <c r="AH65" s="37"/>
      <c r="AI65" s="37"/>
      <c r="AJ65" s="37"/>
      <c r="AK65" s="37"/>
      <c r="AL65" s="37"/>
      <c r="AM65" s="37"/>
      <c r="AN65" s="37"/>
      <c r="AO65" s="37"/>
      <c r="AP65" s="37"/>
    </row>
    <row r="66" spans="1:42" s="40" customFormat="1" ht="33.75" customHeight="1">
      <c r="A66" s="379"/>
      <c r="B66" s="1262" t="s">
        <v>593</v>
      </c>
      <c r="C66" s="1262"/>
      <c r="D66" s="1262"/>
      <c r="E66" s="1263"/>
      <c r="F66" s="1263"/>
      <c r="G66" s="1263"/>
      <c r="H66" s="1263"/>
      <c r="I66" s="1263"/>
      <c r="J66" s="1263"/>
      <c r="K66" s="1263"/>
      <c r="L66" s="376"/>
      <c r="M66" s="37"/>
      <c r="N66" s="37"/>
      <c r="O66" s="37"/>
      <c r="P66" s="37"/>
      <c r="Q66" s="37"/>
      <c r="R66" s="37"/>
      <c r="S66" s="37"/>
      <c r="T66" s="37"/>
      <c r="U66" s="277"/>
      <c r="V66" s="37"/>
      <c r="W66" s="37"/>
      <c r="X66" s="37"/>
      <c r="Y66" s="37"/>
      <c r="Z66" s="37"/>
      <c r="AA66" s="37"/>
      <c r="AB66" s="37"/>
      <c r="AC66" s="37"/>
      <c r="AD66" s="37"/>
      <c r="AE66" s="37"/>
      <c r="AF66" s="37"/>
      <c r="AG66" s="37"/>
      <c r="AH66" s="37"/>
      <c r="AI66" s="37"/>
      <c r="AJ66" s="37"/>
      <c r="AK66" s="37"/>
      <c r="AL66" s="37"/>
      <c r="AM66" s="37"/>
      <c r="AN66" s="37"/>
      <c r="AO66" s="37"/>
      <c r="AP66" s="37"/>
    </row>
    <row r="67" spans="1:42" s="40" customFormat="1" ht="33.75" customHeight="1">
      <c r="A67" s="379"/>
      <c r="B67" s="1262" t="s">
        <v>594</v>
      </c>
      <c r="C67" s="1262"/>
      <c r="D67" s="1262"/>
      <c r="E67" s="1263"/>
      <c r="F67" s="1263"/>
      <c r="G67" s="1263"/>
      <c r="H67" s="1263"/>
      <c r="I67" s="1263"/>
      <c r="J67" s="1263"/>
      <c r="K67" s="1263"/>
      <c r="L67" s="376"/>
      <c r="M67" s="37"/>
      <c r="N67" s="37"/>
      <c r="O67" s="37"/>
      <c r="P67" s="37"/>
      <c r="Q67" s="37"/>
      <c r="R67" s="37"/>
      <c r="S67" s="37"/>
      <c r="T67" s="37"/>
      <c r="U67" s="277"/>
      <c r="V67" s="37"/>
      <c r="W67" s="37"/>
      <c r="X67" s="37"/>
      <c r="Y67" s="37"/>
      <c r="Z67" s="37"/>
      <c r="AA67" s="37"/>
      <c r="AB67" s="37"/>
      <c r="AC67" s="37"/>
      <c r="AD67" s="37"/>
      <c r="AE67" s="37"/>
      <c r="AF67" s="37"/>
      <c r="AG67" s="37"/>
      <c r="AH67" s="37"/>
      <c r="AI67" s="37"/>
      <c r="AJ67" s="37"/>
      <c r="AK67" s="37"/>
      <c r="AL67" s="37"/>
      <c r="AM67" s="37"/>
      <c r="AN67" s="37"/>
      <c r="AO67" s="37"/>
      <c r="AP67" s="37"/>
    </row>
    <row r="68" spans="1:42" s="40" customFormat="1" ht="39.75" customHeight="1">
      <c r="A68" s="379"/>
      <c r="B68" s="1262" t="s">
        <v>614</v>
      </c>
      <c r="C68" s="1262"/>
      <c r="D68" s="1262"/>
      <c r="E68" s="1263"/>
      <c r="F68" s="1263"/>
      <c r="G68" s="1263"/>
      <c r="H68" s="1263"/>
      <c r="I68" s="1263"/>
      <c r="J68" s="1263"/>
      <c r="K68" s="1263"/>
      <c r="L68" s="376"/>
      <c r="M68" s="37"/>
      <c r="N68" s="37"/>
      <c r="O68" s="37"/>
      <c r="P68" s="37"/>
      <c r="Q68" s="37"/>
      <c r="R68" s="37"/>
      <c r="S68" s="37"/>
      <c r="T68" s="37"/>
      <c r="U68" s="277"/>
      <c r="V68" s="37"/>
      <c r="W68" s="37"/>
      <c r="X68" s="37"/>
      <c r="Y68" s="37"/>
      <c r="Z68" s="37"/>
      <c r="AA68" s="37"/>
      <c r="AB68" s="37"/>
      <c r="AC68" s="37"/>
      <c r="AD68" s="37"/>
      <c r="AE68" s="37"/>
      <c r="AF68" s="37"/>
      <c r="AG68" s="37"/>
      <c r="AH68" s="37"/>
      <c r="AI68" s="37"/>
      <c r="AJ68" s="37"/>
      <c r="AK68" s="37"/>
      <c r="AL68" s="37"/>
      <c r="AM68" s="37"/>
      <c r="AN68" s="37"/>
      <c r="AO68" s="37"/>
      <c r="AP68" s="37"/>
    </row>
    <row r="69" spans="1:42" s="40" customFormat="1" ht="19.5" customHeight="1">
      <c r="A69" s="379"/>
      <c r="B69" s="1267" t="s">
        <v>613</v>
      </c>
      <c r="C69" s="1267"/>
      <c r="D69" s="1267"/>
      <c r="E69" s="1261"/>
      <c r="F69" s="1261"/>
      <c r="G69" s="1261"/>
      <c r="H69" s="1261"/>
      <c r="I69" s="1261"/>
      <c r="J69" s="1261"/>
      <c r="K69" s="1261"/>
      <c r="L69" s="376"/>
      <c r="M69" s="37"/>
      <c r="N69" s="37"/>
      <c r="O69" s="37"/>
      <c r="P69" s="37"/>
      <c r="Q69" s="37"/>
      <c r="R69" s="37"/>
      <c r="S69" s="37"/>
      <c r="T69" s="37"/>
      <c r="U69" s="277"/>
      <c r="V69" s="37"/>
      <c r="W69" s="37"/>
      <c r="X69" s="37"/>
      <c r="Y69" s="37"/>
      <c r="Z69" s="37"/>
      <c r="AA69" s="37"/>
      <c r="AB69" s="37"/>
      <c r="AC69" s="37"/>
      <c r="AD69" s="37"/>
      <c r="AE69" s="37"/>
      <c r="AF69" s="37"/>
      <c r="AG69" s="37"/>
      <c r="AH69" s="37"/>
      <c r="AI69" s="37"/>
      <c r="AJ69" s="37"/>
      <c r="AK69" s="37"/>
      <c r="AL69" s="37"/>
      <c r="AM69" s="37"/>
      <c r="AN69" s="37"/>
      <c r="AO69" s="37"/>
      <c r="AP69" s="37"/>
    </row>
    <row r="70" spans="1:42" s="40" customFormat="1" ht="27" customHeight="1">
      <c r="A70" s="379"/>
      <c r="B70" s="1260" t="s">
        <v>497</v>
      </c>
      <c r="C70" s="1260"/>
      <c r="D70" s="1260"/>
      <c r="E70" s="1260"/>
      <c r="F70" s="1260"/>
      <c r="G70" s="1260"/>
      <c r="H70" s="1260"/>
      <c r="I70" s="1260"/>
      <c r="J70" s="56"/>
      <c r="K70" s="39"/>
      <c r="L70" s="376"/>
      <c r="M70" s="37"/>
      <c r="N70" s="37"/>
      <c r="O70" s="37"/>
      <c r="P70" s="37"/>
      <c r="Q70" s="37"/>
      <c r="R70" s="37"/>
      <c r="S70" s="37"/>
      <c r="T70" s="37"/>
      <c r="U70" s="277"/>
      <c r="V70" s="37"/>
      <c r="W70" s="37"/>
      <c r="X70" s="37"/>
      <c r="Y70" s="37"/>
      <c r="Z70" s="37"/>
      <c r="AA70" s="37"/>
      <c r="AB70" s="37"/>
      <c r="AC70" s="37"/>
      <c r="AD70" s="37"/>
      <c r="AE70" s="37"/>
      <c r="AF70" s="37"/>
      <c r="AG70" s="37"/>
      <c r="AH70" s="37"/>
      <c r="AI70" s="37"/>
      <c r="AJ70" s="37"/>
      <c r="AK70" s="37"/>
      <c r="AL70" s="37"/>
      <c r="AM70" s="37"/>
      <c r="AN70" s="37"/>
      <c r="AO70" s="37"/>
      <c r="AP70" s="37"/>
    </row>
    <row r="71" spans="1:42" s="40" customFormat="1" ht="33.75" customHeight="1">
      <c r="A71" s="379"/>
      <c r="B71" s="1262" t="s">
        <v>501</v>
      </c>
      <c r="C71" s="1262"/>
      <c r="D71" s="1262"/>
      <c r="E71" s="1263"/>
      <c r="F71" s="1263"/>
      <c r="G71" s="1263"/>
      <c r="H71" s="1263"/>
      <c r="I71" s="1263"/>
      <c r="J71" s="1263"/>
      <c r="K71" s="1263"/>
      <c r="L71" s="376"/>
      <c r="M71" s="37"/>
      <c r="N71" s="37"/>
      <c r="O71" s="37"/>
      <c r="P71" s="37"/>
      <c r="Q71" s="37"/>
      <c r="R71" s="37"/>
      <c r="S71" s="37"/>
      <c r="T71" s="37"/>
      <c r="U71" s="277"/>
      <c r="V71" s="37"/>
      <c r="W71" s="37"/>
      <c r="X71" s="37"/>
      <c r="Y71" s="37"/>
      <c r="Z71" s="37"/>
      <c r="AA71" s="37"/>
      <c r="AB71" s="37"/>
      <c r="AC71" s="37"/>
      <c r="AD71" s="37"/>
      <c r="AE71" s="37"/>
      <c r="AF71" s="37"/>
      <c r="AG71" s="37"/>
      <c r="AH71" s="37"/>
      <c r="AI71" s="37"/>
      <c r="AJ71" s="37"/>
      <c r="AK71" s="37"/>
      <c r="AL71" s="37"/>
      <c r="AM71" s="37"/>
      <c r="AN71" s="37"/>
      <c r="AO71" s="37"/>
      <c r="AP71" s="37"/>
    </row>
    <row r="72" spans="1:42" s="40" customFormat="1" ht="33" customHeight="1">
      <c r="A72" s="379"/>
      <c r="B72" s="1262" t="s">
        <v>506</v>
      </c>
      <c r="C72" s="1262"/>
      <c r="D72" s="1262"/>
      <c r="E72" s="1263"/>
      <c r="F72" s="1263"/>
      <c r="G72" s="1263"/>
      <c r="H72" s="1263"/>
      <c r="I72" s="1263"/>
      <c r="J72" s="1263"/>
      <c r="K72" s="1263"/>
      <c r="L72" s="376"/>
      <c r="M72" s="37"/>
      <c r="N72" s="37"/>
      <c r="O72" s="37"/>
      <c r="P72" s="37"/>
      <c r="Q72" s="37"/>
      <c r="R72" s="37"/>
      <c r="S72" s="37"/>
      <c r="T72" s="37"/>
      <c r="U72" s="277"/>
      <c r="V72" s="37"/>
      <c r="W72" s="37"/>
      <c r="X72" s="37"/>
      <c r="Y72" s="37"/>
      <c r="Z72" s="37"/>
      <c r="AA72" s="37"/>
      <c r="AB72" s="37"/>
      <c r="AC72" s="37"/>
      <c r="AD72" s="37"/>
      <c r="AE72" s="37"/>
      <c r="AF72" s="37"/>
      <c r="AG72" s="37"/>
      <c r="AH72" s="37"/>
      <c r="AI72" s="37"/>
      <c r="AJ72" s="37"/>
      <c r="AK72" s="37"/>
      <c r="AL72" s="37"/>
      <c r="AM72" s="37"/>
      <c r="AN72" s="37"/>
      <c r="AO72" s="37"/>
      <c r="AP72" s="37"/>
    </row>
    <row r="73" spans="1:42" s="40" customFormat="1" ht="27" customHeight="1">
      <c r="A73" s="379"/>
      <c r="B73" s="1262" t="s">
        <v>595</v>
      </c>
      <c r="C73" s="1262"/>
      <c r="D73" s="1262"/>
      <c r="E73" s="1263"/>
      <c r="F73" s="1263"/>
      <c r="G73" s="1263"/>
      <c r="H73" s="1263"/>
      <c r="I73" s="1263"/>
      <c r="J73" s="1263"/>
      <c r="K73" s="1263"/>
      <c r="L73" s="376"/>
      <c r="M73" s="37"/>
      <c r="N73" s="37"/>
      <c r="O73" s="37"/>
      <c r="P73" s="37"/>
      <c r="Q73" s="37"/>
      <c r="R73" s="37"/>
      <c r="S73" s="37"/>
      <c r="T73" s="37"/>
      <c r="U73" s="277"/>
      <c r="V73" s="37"/>
      <c r="W73" s="37"/>
      <c r="X73" s="37"/>
      <c r="Y73" s="37"/>
      <c r="Z73" s="37"/>
      <c r="AA73" s="37"/>
      <c r="AB73" s="37"/>
      <c r="AC73" s="37"/>
      <c r="AD73" s="37"/>
      <c r="AE73" s="37"/>
      <c r="AF73" s="37"/>
      <c r="AG73" s="37"/>
      <c r="AH73" s="37"/>
      <c r="AI73" s="37"/>
      <c r="AJ73" s="37"/>
      <c r="AK73" s="37"/>
      <c r="AL73" s="37"/>
      <c r="AM73" s="37"/>
      <c r="AN73" s="37"/>
      <c r="AO73" s="37"/>
      <c r="AP73" s="37"/>
    </row>
    <row r="74" spans="1:42" s="40" customFormat="1" ht="27" customHeight="1">
      <c r="A74" s="379"/>
      <c r="B74" s="1260" t="s">
        <v>609</v>
      </c>
      <c r="C74" s="1260"/>
      <c r="D74" s="1260"/>
      <c r="E74" s="1260"/>
      <c r="F74" s="1260"/>
      <c r="G74" s="1260"/>
      <c r="H74" s="1260"/>
      <c r="I74" s="1260"/>
      <c r="J74" s="1260"/>
      <c r="K74" s="1260"/>
      <c r="L74" s="376"/>
      <c r="M74" s="37"/>
      <c r="N74" s="37"/>
      <c r="O74" s="37"/>
      <c r="P74" s="37"/>
      <c r="Q74" s="37"/>
      <c r="R74" s="37"/>
      <c r="S74" s="37"/>
      <c r="T74" s="37"/>
      <c r="U74" s="277"/>
      <c r="V74" s="37"/>
      <c r="W74" s="37"/>
      <c r="X74" s="37"/>
      <c r="Y74" s="37"/>
      <c r="Z74" s="37"/>
      <c r="AA74" s="37"/>
      <c r="AB74" s="37"/>
      <c r="AC74" s="37"/>
      <c r="AD74" s="37"/>
      <c r="AE74" s="37"/>
      <c r="AF74" s="37"/>
      <c r="AG74" s="37"/>
      <c r="AH74" s="37"/>
      <c r="AI74" s="37"/>
      <c r="AJ74" s="37"/>
      <c r="AK74" s="37"/>
      <c r="AL74" s="37"/>
      <c r="AM74" s="37"/>
      <c r="AN74" s="37"/>
      <c r="AO74" s="37"/>
      <c r="AP74" s="37"/>
    </row>
    <row r="75" spans="1:42" s="40" customFormat="1" ht="33.75" customHeight="1">
      <c r="A75" s="379"/>
      <c r="B75" s="1262" t="s">
        <v>498</v>
      </c>
      <c r="C75" s="1262"/>
      <c r="D75" s="1262"/>
      <c r="E75" s="1263"/>
      <c r="F75" s="1263"/>
      <c r="G75" s="1263"/>
      <c r="H75" s="1263"/>
      <c r="I75" s="1263"/>
      <c r="J75" s="1263"/>
      <c r="K75" s="1263"/>
      <c r="L75" s="376"/>
      <c r="M75" s="37"/>
      <c r="N75" s="37"/>
      <c r="O75" s="37"/>
      <c r="P75" s="37"/>
      <c r="Q75" s="37"/>
      <c r="R75" s="37"/>
      <c r="S75" s="37"/>
      <c r="T75" s="37"/>
      <c r="U75" s="277"/>
      <c r="V75" s="37"/>
      <c r="W75" s="37"/>
      <c r="X75" s="37"/>
      <c r="Y75" s="37"/>
      <c r="Z75" s="37"/>
      <c r="AA75" s="37"/>
      <c r="AB75" s="37"/>
      <c r="AC75" s="37"/>
      <c r="AD75" s="37"/>
      <c r="AE75" s="37"/>
      <c r="AF75" s="37"/>
      <c r="AG75" s="37"/>
      <c r="AH75" s="37"/>
      <c r="AI75" s="37"/>
      <c r="AJ75" s="37"/>
      <c r="AK75" s="37"/>
      <c r="AL75" s="37"/>
      <c r="AM75" s="37"/>
      <c r="AN75" s="37"/>
      <c r="AO75" s="37"/>
      <c r="AP75" s="37"/>
    </row>
    <row r="76" spans="1:42" s="40" customFormat="1" ht="33.75" customHeight="1">
      <c r="A76" s="379"/>
      <c r="B76" s="1262" t="s">
        <v>697</v>
      </c>
      <c r="C76" s="1262"/>
      <c r="D76" s="1262"/>
      <c r="E76" s="1263"/>
      <c r="F76" s="1263"/>
      <c r="G76" s="1263"/>
      <c r="H76" s="1263"/>
      <c r="I76" s="1263"/>
      <c r="J76" s="1263"/>
      <c r="K76" s="1263"/>
      <c r="L76" s="376"/>
      <c r="M76" s="37"/>
      <c r="N76" s="37"/>
      <c r="O76" s="37"/>
      <c r="P76" s="37"/>
      <c r="Q76" s="37"/>
      <c r="R76" s="37"/>
      <c r="S76" s="37"/>
      <c r="T76" s="37"/>
      <c r="U76" s="277"/>
      <c r="V76" s="37"/>
      <c r="W76" s="37"/>
      <c r="X76" s="37"/>
      <c r="Y76" s="37"/>
      <c r="Z76" s="37"/>
      <c r="AA76" s="37"/>
      <c r="AB76" s="37"/>
      <c r="AC76" s="37"/>
      <c r="AD76" s="37"/>
      <c r="AE76" s="37"/>
      <c r="AF76" s="37"/>
      <c r="AG76" s="37"/>
      <c r="AH76" s="37"/>
      <c r="AI76" s="37"/>
      <c r="AJ76" s="37"/>
      <c r="AK76" s="37"/>
      <c r="AL76" s="37"/>
      <c r="AM76" s="37"/>
      <c r="AN76" s="37"/>
      <c r="AO76" s="37"/>
      <c r="AP76" s="37"/>
    </row>
    <row r="77" spans="1:42" s="40" customFormat="1" ht="33.75" customHeight="1">
      <c r="A77" s="379"/>
      <c r="B77" s="1262" t="s">
        <v>638</v>
      </c>
      <c r="C77" s="1262"/>
      <c r="D77" s="1262"/>
      <c r="E77" s="1263"/>
      <c r="F77" s="1263"/>
      <c r="G77" s="1263"/>
      <c r="H77" s="1263"/>
      <c r="I77" s="1263"/>
      <c r="J77" s="1263"/>
      <c r="K77" s="1263"/>
      <c r="L77" s="376"/>
      <c r="M77" s="37"/>
      <c r="N77" s="37"/>
      <c r="O77" s="37"/>
      <c r="P77" s="37"/>
      <c r="Q77" s="37"/>
      <c r="R77" s="37"/>
      <c r="S77" s="37"/>
      <c r="T77" s="37"/>
      <c r="U77" s="277"/>
      <c r="V77" s="37"/>
      <c r="W77" s="37"/>
      <c r="X77" s="37"/>
      <c r="Y77" s="37"/>
      <c r="Z77" s="37"/>
      <c r="AA77" s="37"/>
      <c r="AB77" s="37"/>
      <c r="AC77" s="37"/>
      <c r="AD77" s="37"/>
      <c r="AE77" s="37"/>
      <c r="AF77" s="37"/>
      <c r="AG77" s="37"/>
      <c r="AH77" s="37"/>
      <c r="AI77" s="37"/>
      <c r="AJ77" s="37"/>
      <c r="AK77" s="37"/>
      <c r="AL77" s="37"/>
      <c r="AM77" s="37"/>
      <c r="AN77" s="37"/>
      <c r="AO77" s="37"/>
      <c r="AP77" s="37"/>
    </row>
    <row r="78" spans="1:42" s="40" customFormat="1" ht="33.75" customHeight="1">
      <c r="A78" s="379"/>
      <c r="B78" s="1262" t="s">
        <v>737</v>
      </c>
      <c r="C78" s="1262"/>
      <c r="D78" s="1262"/>
      <c r="E78" s="1263"/>
      <c r="F78" s="1263"/>
      <c r="G78" s="1263"/>
      <c r="H78" s="1263"/>
      <c r="I78" s="1263"/>
      <c r="J78" s="1263"/>
      <c r="K78" s="1263"/>
      <c r="L78" s="376"/>
      <c r="M78" s="37"/>
      <c r="N78" s="37"/>
      <c r="O78" s="37"/>
      <c r="P78" s="37"/>
      <c r="Q78" s="37"/>
      <c r="R78" s="37"/>
      <c r="S78" s="37"/>
      <c r="T78" s="37"/>
      <c r="U78" s="277"/>
      <c r="V78" s="37"/>
      <c r="W78" s="37"/>
      <c r="X78" s="37"/>
      <c r="Y78" s="37"/>
      <c r="Z78" s="37"/>
      <c r="AA78" s="37"/>
      <c r="AB78" s="37"/>
      <c r="AC78" s="37"/>
      <c r="AD78" s="37"/>
      <c r="AE78" s="37"/>
      <c r="AF78" s="37"/>
      <c r="AG78" s="37"/>
      <c r="AH78" s="37"/>
      <c r="AI78" s="37"/>
      <c r="AJ78" s="37"/>
      <c r="AK78" s="37"/>
      <c r="AL78" s="37"/>
      <c r="AM78" s="37"/>
      <c r="AN78" s="37"/>
      <c r="AO78" s="37"/>
      <c r="AP78" s="37"/>
    </row>
    <row r="79" spans="1:42" s="40" customFormat="1" ht="27" customHeight="1">
      <c r="A79" s="379"/>
      <c r="B79" s="1267" t="s">
        <v>610</v>
      </c>
      <c r="C79" s="1267"/>
      <c r="D79" s="1267"/>
      <c r="E79" s="1263"/>
      <c r="F79" s="1263"/>
      <c r="G79" s="1263"/>
      <c r="H79" s="1263"/>
      <c r="I79" s="1263"/>
      <c r="J79" s="1263"/>
      <c r="K79" s="1263"/>
      <c r="L79" s="376"/>
      <c r="M79" s="37"/>
      <c r="N79" s="37"/>
      <c r="O79" s="37"/>
      <c r="P79" s="37"/>
      <c r="Q79" s="37"/>
      <c r="R79" s="37"/>
      <c r="S79" s="37"/>
      <c r="T79" s="37"/>
      <c r="U79" s="277"/>
      <c r="V79" s="37"/>
      <c r="W79" s="37"/>
      <c r="X79" s="37"/>
      <c r="Y79" s="37"/>
      <c r="Z79" s="37"/>
      <c r="AA79" s="37"/>
      <c r="AB79" s="37"/>
      <c r="AC79" s="37"/>
      <c r="AD79" s="37"/>
      <c r="AE79" s="37"/>
      <c r="AF79" s="37"/>
      <c r="AG79" s="37"/>
      <c r="AH79" s="37"/>
      <c r="AI79" s="37"/>
      <c r="AJ79" s="37"/>
      <c r="AK79" s="37"/>
      <c r="AL79" s="37"/>
      <c r="AM79" s="37"/>
      <c r="AN79" s="37"/>
      <c r="AO79" s="37"/>
      <c r="AP79" s="37"/>
    </row>
    <row r="80" spans="1:42" s="40" customFormat="1" ht="27" customHeight="1">
      <c r="A80" s="379"/>
      <c r="B80" s="1260" t="s">
        <v>611</v>
      </c>
      <c r="C80" s="1260"/>
      <c r="D80" s="1260"/>
      <c r="E80" s="1260"/>
      <c r="F80" s="1260"/>
      <c r="G80" s="1260"/>
      <c r="H80" s="1260"/>
      <c r="I80" s="1260"/>
      <c r="J80" s="56"/>
      <c r="K80" s="39"/>
      <c r="L80" s="376"/>
      <c r="M80" s="37"/>
      <c r="N80" s="37"/>
      <c r="O80" s="37"/>
      <c r="P80" s="37"/>
      <c r="Q80" s="37"/>
      <c r="R80" s="37"/>
      <c r="S80" s="37"/>
      <c r="T80" s="37"/>
      <c r="U80" s="277"/>
      <c r="V80" s="37"/>
      <c r="W80" s="37"/>
      <c r="X80" s="37"/>
      <c r="Y80" s="37"/>
      <c r="Z80" s="37"/>
      <c r="AA80" s="37"/>
      <c r="AB80" s="37"/>
      <c r="AC80" s="37"/>
      <c r="AD80" s="37"/>
      <c r="AE80" s="37"/>
      <c r="AF80" s="37"/>
      <c r="AG80" s="37"/>
      <c r="AH80" s="37"/>
      <c r="AI80" s="37"/>
      <c r="AJ80" s="37"/>
      <c r="AK80" s="37"/>
      <c r="AL80" s="37"/>
      <c r="AM80" s="37"/>
      <c r="AN80" s="37"/>
      <c r="AO80" s="37"/>
      <c r="AP80" s="37"/>
    </row>
    <row r="81" spans="1:42" s="40" customFormat="1" ht="33.75" customHeight="1">
      <c r="A81" s="379"/>
      <c r="B81" s="1262" t="s">
        <v>617</v>
      </c>
      <c r="C81" s="1262"/>
      <c r="D81" s="1262"/>
      <c r="E81" s="1263"/>
      <c r="F81" s="1263"/>
      <c r="G81" s="1263"/>
      <c r="H81" s="1263"/>
      <c r="I81" s="1263"/>
      <c r="J81" s="1263"/>
      <c r="K81" s="1263"/>
      <c r="L81" s="376"/>
      <c r="M81" s="37"/>
      <c r="N81" s="37"/>
      <c r="O81" s="37"/>
      <c r="P81" s="37"/>
      <c r="Q81" s="37"/>
      <c r="R81" s="37"/>
      <c r="S81" s="37"/>
      <c r="T81" s="37"/>
      <c r="U81" s="277"/>
      <c r="V81" s="37"/>
      <c r="W81" s="37"/>
      <c r="X81" s="37"/>
      <c r="Y81" s="37"/>
      <c r="Z81" s="37"/>
      <c r="AA81" s="37"/>
      <c r="AB81" s="37"/>
      <c r="AC81" s="37"/>
      <c r="AD81" s="37"/>
      <c r="AE81" s="37"/>
      <c r="AF81" s="37"/>
      <c r="AG81" s="37"/>
      <c r="AH81" s="37"/>
      <c r="AI81" s="37"/>
      <c r="AJ81" s="37"/>
      <c r="AK81" s="37"/>
      <c r="AL81" s="37"/>
      <c r="AM81" s="37"/>
      <c r="AN81" s="37"/>
      <c r="AO81" s="37"/>
      <c r="AP81" s="37"/>
    </row>
    <row r="82" spans="1:42" s="40" customFormat="1" ht="33.75" customHeight="1">
      <c r="A82" s="379"/>
      <c r="B82" s="1262" t="s">
        <v>698</v>
      </c>
      <c r="C82" s="1262"/>
      <c r="D82" s="1262"/>
      <c r="E82" s="1263"/>
      <c r="F82" s="1263"/>
      <c r="G82" s="1263"/>
      <c r="H82" s="1263"/>
      <c r="I82" s="1263"/>
      <c r="J82" s="1263"/>
      <c r="K82" s="1263"/>
      <c r="L82" s="376"/>
      <c r="M82" s="37"/>
      <c r="N82" s="37"/>
      <c r="O82" s="37"/>
      <c r="P82" s="37"/>
      <c r="Q82" s="37"/>
      <c r="R82" s="37"/>
      <c r="S82" s="37"/>
      <c r="T82" s="37"/>
      <c r="U82" s="277"/>
      <c r="V82" s="37"/>
      <c r="W82" s="37"/>
      <c r="X82" s="37"/>
      <c r="Y82" s="37"/>
      <c r="Z82" s="37"/>
      <c r="AA82" s="37"/>
      <c r="AB82" s="37"/>
      <c r="AC82" s="37"/>
      <c r="AD82" s="37"/>
      <c r="AE82" s="37"/>
      <c r="AF82" s="37"/>
      <c r="AG82" s="37"/>
      <c r="AH82" s="37"/>
      <c r="AI82" s="37"/>
      <c r="AJ82" s="37"/>
      <c r="AK82" s="37"/>
      <c r="AL82" s="37"/>
      <c r="AM82" s="37"/>
      <c r="AN82" s="37"/>
      <c r="AO82" s="37"/>
      <c r="AP82" s="37"/>
    </row>
    <row r="83" spans="1:42" s="40" customFormat="1" ht="27" customHeight="1">
      <c r="A83" s="379"/>
      <c r="B83" s="1267" t="s">
        <v>595</v>
      </c>
      <c r="C83" s="1267"/>
      <c r="D83" s="1267"/>
      <c r="E83" s="1263"/>
      <c r="F83" s="1263"/>
      <c r="G83" s="1263"/>
      <c r="H83" s="1263"/>
      <c r="I83" s="1263"/>
      <c r="J83" s="1263"/>
      <c r="K83" s="1263"/>
      <c r="L83" s="376"/>
      <c r="M83" s="37"/>
      <c r="N83" s="37"/>
      <c r="O83" s="37"/>
      <c r="P83" s="37"/>
      <c r="Q83" s="37"/>
      <c r="R83" s="37"/>
      <c r="S83" s="37"/>
      <c r="T83" s="37"/>
      <c r="U83" s="277"/>
      <c r="V83" s="37"/>
      <c r="W83" s="37"/>
      <c r="X83" s="37"/>
      <c r="Y83" s="37"/>
      <c r="Z83" s="37"/>
      <c r="AA83" s="37"/>
      <c r="AB83" s="37"/>
      <c r="AC83" s="37"/>
      <c r="AD83" s="37"/>
      <c r="AE83" s="37"/>
      <c r="AF83" s="37"/>
      <c r="AG83" s="37"/>
      <c r="AH83" s="37"/>
      <c r="AI83" s="37"/>
      <c r="AJ83" s="37"/>
      <c r="AK83" s="37"/>
      <c r="AL83" s="37"/>
      <c r="AM83" s="37"/>
      <c r="AN83" s="37"/>
      <c r="AO83" s="37"/>
      <c r="AP83" s="37"/>
    </row>
    <row r="84" spans="1:42" s="40" customFormat="1" ht="27" customHeight="1">
      <c r="A84" s="379"/>
      <c r="B84" s="1260" t="s">
        <v>607</v>
      </c>
      <c r="C84" s="1260"/>
      <c r="D84" s="1260"/>
      <c r="E84" s="1260"/>
      <c r="F84" s="1260"/>
      <c r="G84" s="1260"/>
      <c r="H84" s="1260"/>
      <c r="I84" s="1260"/>
      <c r="J84" s="56"/>
      <c r="K84" s="39"/>
      <c r="L84" s="376"/>
      <c r="M84" s="37"/>
      <c r="N84" s="37"/>
      <c r="O84" s="37"/>
      <c r="P84" s="37"/>
      <c r="Q84" s="37"/>
      <c r="R84" s="37"/>
      <c r="S84" s="37"/>
      <c r="T84" s="37"/>
      <c r="U84" s="277"/>
      <c r="V84" s="37"/>
      <c r="W84" s="37"/>
      <c r="X84" s="37"/>
      <c r="Y84" s="37"/>
      <c r="Z84" s="37"/>
      <c r="AA84" s="37"/>
      <c r="AB84" s="37"/>
      <c r="AC84" s="37"/>
      <c r="AD84" s="37"/>
      <c r="AE84" s="37"/>
      <c r="AF84" s="37"/>
      <c r="AG84" s="37"/>
      <c r="AH84" s="37"/>
      <c r="AI84" s="37"/>
      <c r="AJ84" s="37"/>
      <c r="AK84" s="37"/>
      <c r="AL84" s="37"/>
      <c r="AM84" s="37"/>
      <c r="AN84" s="37"/>
      <c r="AO84" s="37"/>
      <c r="AP84" s="37"/>
    </row>
    <row r="85" spans="1:42" s="40" customFormat="1" ht="33.75" customHeight="1">
      <c r="A85" s="379"/>
      <c r="B85" s="1262" t="s">
        <v>639</v>
      </c>
      <c r="C85" s="1262"/>
      <c r="D85" s="1262"/>
      <c r="E85" s="1263"/>
      <c r="F85" s="1263"/>
      <c r="G85" s="1263"/>
      <c r="H85" s="1263"/>
      <c r="I85" s="1263"/>
      <c r="J85" s="1263"/>
      <c r="K85" s="1263"/>
      <c r="L85" s="37"/>
      <c r="M85" s="37"/>
      <c r="N85" s="37"/>
      <c r="O85" s="37"/>
      <c r="P85" s="37"/>
      <c r="Q85" s="37"/>
      <c r="R85" s="37"/>
      <c r="S85" s="37"/>
      <c r="T85" s="37"/>
      <c r="U85" s="277"/>
      <c r="V85" s="37"/>
      <c r="W85" s="37"/>
      <c r="X85" s="37"/>
      <c r="Y85" s="37"/>
      <c r="Z85" s="37"/>
      <c r="AA85" s="37"/>
      <c r="AB85" s="37"/>
      <c r="AC85" s="37"/>
      <c r="AD85" s="37"/>
      <c r="AE85" s="37"/>
      <c r="AF85" s="37"/>
      <c r="AG85" s="37"/>
      <c r="AH85" s="37"/>
      <c r="AI85" s="37"/>
      <c r="AJ85" s="37"/>
      <c r="AK85" s="37"/>
      <c r="AL85" s="37"/>
      <c r="AM85" s="37"/>
      <c r="AN85" s="37"/>
      <c r="AO85" s="37"/>
      <c r="AP85" s="37"/>
    </row>
    <row r="86" spans="1:42" s="40" customFormat="1" ht="33.75" customHeight="1">
      <c r="A86" s="379"/>
      <c r="B86" s="1262" t="s">
        <v>699</v>
      </c>
      <c r="C86" s="1262"/>
      <c r="D86" s="1262"/>
      <c r="E86" s="1263"/>
      <c r="F86" s="1263"/>
      <c r="G86" s="1263"/>
      <c r="H86" s="1263"/>
      <c r="I86" s="1263"/>
      <c r="J86" s="1263"/>
      <c r="K86" s="1263"/>
      <c r="L86" s="37"/>
      <c r="M86" s="37"/>
      <c r="N86" s="37"/>
      <c r="O86" s="37"/>
      <c r="P86" s="37"/>
      <c r="Q86" s="37"/>
      <c r="R86" s="37"/>
      <c r="S86" s="37"/>
      <c r="T86" s="37"/>
      <c r="U86" s="277"/>
      <c r="V86" s="37"/>
      <c r="W86" s="37"/>
      <c r="X86" s="37"/>
      <c r="Y86" s="37"/>
      <c r="Z86" s="37"/>
      <c r="AA86" s="37"/>
      <c r="AB86" s="37"/>
      <c r="AC86" s="37"/>
      <c r="AD86" s="37"/>
      <c r="AE86" s="37"/>
      <c r="AF86" s="37"/>
      <c r="AG86" s="37"/>
      <c r="AH86" s="37"/>
      <c r="AI86" s="37"/>
      <c r="AJ86" s="37"/>
      <c r="AK86" s="37"/>
      <c r="AL86" s="37"/>
      <c r="AM86" s="37"/>
      <c r="AN86" s="37"/>
      <c r="AO86" s="37"/>
      <c r="AP86" s="37"/>
    </row>
    <row r="87" spans="1:42" s="40" customFormat="1" ht="33.75" customHeight="1">
      <c r="A87" s="379"/>
      <c r="B87" s="1262" t="s">
        <v>700</v>
      </c>
      <c r="C87" s="1262"/>
      <c r="D87" s="1262"/>
      <c r="E87" s="1263"/>
      <c r="F87" s="1263"/>
      <c r="G87" s="1263"/>
      <c r="H87" s="1263"/>
      <c r="I87" s="1263"/>
      <c r="J87" s="1263"/>
      <c r="K87" s="1263"/>
      <c r="L87" s="37"/>
      <c r="M87" s="37"/>
      <c r="N87" s="37"/>
      <c r="O87" s="37"/>
      <c r="P87" s="37"/>
      <c r="Q87" s="37"/>
      <c r="R87" s="37"/>
      <c r="S87" s="37"/>
      <c r="T87" s="37"/>
      <c r="U87" s="277"/>
      <c r="V87" s="37"/>
      <c r="W87" s="37"/>
      <c r="X87" s="37"/>
      <c r="Y87" s="37"/>
      <c r="Z87" s="37"/>
      <c r="AA87" s="37"/>
      <c r="AB87" s="37"/>
      <c r="AC87" s="37"/>
      <c r="AD87" s="37"/>
      <c r="AE87" s="37"/>
      <c r="AF87" s="37"/>
      <c r="AG87" s="37"/>
      <c r="AH87" s="37"/>
      <c r="AI87" s="37"/>
      <c r="AJ87" s="37"/>
      <c r="AK87" s="37"/>
      <c r="AL87" s="37"/>
      <c r="AM87" s="37"/>
      <c r="AN87" s="37"/>
      <c r="AO87" s="37"/>
      <c r="AP87" s="37"/>
    </row>
    <row r="88" spans="1:42" s="40" customFormat="1" ht="27" customHeight="1">
      <c r="A88" s="379"/>
      <c r="B88" s="1262" t="s">
        <v>596</v>
      </c>
      <c r="C88" s="1262"/>
      <c r="D88" s="1262"/>
      <c r="E88" s="1263"/>
      <c r="F88" s="1263"/>
      <c r="G88" s="1263"/>
      <c r="H88" s="1263"/>
      <c r="I88" s="1263"/>
      <c r="J88" s="1263"/>
      <c r="K88" s="1263"/>
      <c r="L88" s="37"/>
      <c r="M88" s="37"/>
      <c r="N88" s="37"/>
      <c r="O88" s="37"/>
      <c r="P88" s="37"/>
      <c r="Q88" s="37"/>
      <c r="R88" s="37"/>
      <c r="S88" s="37"/>
      <c r="T88" s="37"/>
      <c r="U88" s="277"/>
      <c r="V88" s="37"/>
      <c r="W88" s="37"/>
      <c r="X88" s="37"/>
      <c r="Y88" s="37"/>
      <c r="Z88" s="37"/>
      <c r="AA88" s="37"/>
      <c r="AB88" s="37"/>
      <c r="AC88" s="37"/>
      <c r="AD88" s="37"/>
      <c r="AE88" s="37"/>
      <c r="AF88" s="37"/>
      <c r="AG88" s="37"/>
      <c r="AH88" s="37"/>
      <c r="AI88" s="37"/>
      <c r="AJ88" s="37"/>
      <c r="AK88" s="37"/>
      <c r="AL88" s="37"/>
      <c r="AM88" s="37"/>
      <c r="AN88" s="37"/>
      <c r="AO88" s="37"/>
      <c r="AP88" s="37"/>
    </row>
    <row r="89" spans="1:42" s="40" customFormat="1" ht="51" customHeight="1">
      <c r="A89" s="379"/>
      <c r="B89" s="1288" t="s">
        <v>608</v>
      </c>
      <c r="C89" s="1288"/>
      <c r="D89" s="1288"/>
      <c r="E89" s="1263"/>
      <c r="F89" s="1263"/>
      <c r="G89" s="1263"/>
      <c r="H89" s="1263"/>
      <c r="I89" s="1263"/>
      <c r="J89" s="1263"/>
      <c r="K89" s="1263"/>
      <c r="L89" s="264"/>
      <c r="M89" s="37"/>
      <c r="N89" s="37"/>
      <c r="O89" s="37"/>
      <c r="P89" s="37"/>
      <c r="Q89" s="37"/>
      <c r="R89" s="37"/>
      <c r="S89" s="37"/>
      <c r="T89" s="37"/>
      <c r="U89" s="277"/>
      <c r="V89" s="37"/>
      <c r="W89" s="37"/>
      <c r="X89" s="37"/>
      <c r="Y89" s="37"/>
      <c r="Z89" s="37"/>
      <c r="AA89" s="37"/>
      <c r="AB89" s="37"/>
      <c r="AC89" s="37"/>
      <c r="AD89" s="37"/>
      <c r="AE89" s="37"/>
      <c r="AF89" s="37"/>
      <c r="AG89" s="37"/>
      <c r="AH89" s="37"/>
      <c r="AI89" s="37"/>
      <c r="AJ89" s="37"/>
      <c r="AK89" s="37"/>
      <c r="AL89" s="37"/>
      <c r="AM89" s="37"/>
      <c r="AN89" s="37"/>
      <c r="AO89" s="37"/>
      <c r="AP89" s="37"/>
    </row>
    <row r="90" spans="1:42" s="446" customFormat="1" ht="47.25" customHeight="1">
      <c r="B90" s="1288" t="s">
        <v>640</v>
      </c>
      <c r="C90" s="1288"/>
      <c r="D90" s="1288"/>
      <c r="E90" s="1295"/>
      <c r="F90" s="1295"/>
      <c r="G90" s="1295"/>
      <c r="H90" s="1295"/>
      <c r="I90" s="1295"/>
      <c r="J90" s="1295"/>
      <c r="K90" s="1295"/>
      <c r="L90" s="848"/>
      <c r="U90" s="849"/>
    </row>
    <row r="91" spans="1:42" s="40" customFormat="1" ht="15.75" customHeight="1">
      <c r="A91" s="103"/>
      <c r="B91" s="596"/>
      <c r="C91" s="596"/>
      <c r="D91" s="596"/>
      <c r="E91" s="1290"/>
      <c r="F91" s="1290"/>
      <c r="G91" s="1290"/>
      <c r="H91" s="1290"/>
      <c r="I91" s="1290"/>
      <c r="L91" s="37"/>
      <c r="M91" s="37"/>
      <c r="N91" s="37"/>
      <c r="O91" s="37"/>
      <c r="P91" s="37"/>
      <c r="Q91" s="37"/>
      <c r="R91" s="37"/>
      <c r="S91" s="37"/>
      <c r="T91" s="37"/>
      <c r="U91" s="277"/>
      <c r="V91" s="37"/>
      <c r="W91" s="37"/>
      <c r="X91" s="37"/>
      <c r="Y91" s="37"/>
      <c r="Z91" s="37"/>
      <c r="AA91" s="37"/>
      <c r="AB91" s="37"/>
      <c r="AC91" s="37"/>
      <c r="AD91" s="37"/>
      <c r="AE91" s="37"/>
      <c r="AF91" s="37"/>
      <c r="AG91" s="37"/>
      <c r="AH91" s="37"/>
      <c r="AI91" s="37"/>
      <c r="AJ91" s="37"/>
      <c r="AK91" s="37"/>
      <c r="AL91" s="37"/>
      <c r="AM91" s="37"/>
      <c r="AN91" s="37"/>
      <c r="AO91" s="37"/>
      <c r="AP91" s="37"/>
    </row>
    <row r="92" spans="1:42" s="40" customFormat="1" ht="15.75" customHeight="1">
      <c r="A92" s="103"/>
      <c r="B92" s="597" t="s">
        <v>499</v>
      </c>
      <c r="C92" s="597"/>
      <c r="D92" s="597"/>
      <c r="E92" s="1291"/>
      <c r="F92" s="1292"/>
      <c r="G92" s="1292"/>
      <c r="H92" s="1293"/>
      <c r="I92" s="1294"/>
      <c r="J92" s="1291"/>
      <c r="K92" s="1292"/>
      <c r="L92" s="37"/>
      <c r="M92" s="37"/>
      <c r="N92" s="37"/>
      <c r="O92" s="37"/>
      <c r="P92" s="37"/>
      <c r="Q92" s="37"/>
      <c r="R92" s="37"/>
      <c r="S92" s="37"/>
      <c r="T92" s="37"/>
      <c r="U92" s="277"/>
      <c r="V92" s="37"/>
      <c r="W92" s="37"/>
      <c r="X92" s="37"/>
      <c r="Y92" s="37"/>
      <c r="Z92" s="37"/>
      <c r="AA92" s="37"/>
      <c r="AB92" s="37"/>
      <c r="AC92" s="37"/>
      <c r="AD92" s="37"/>
      <c r="AE92" s="37"/>
      <c r="AF92" s="37"/>
      <c r="AG92" s="37"/>
      <c r="AH92" s="37"/>
      <c r="AI92" s="37"/>
      <c r="AJ92" s="37"/>
      <c r="AK92" s="37"/>
      <c r="AL92" s="37"/>
      <c r="AM92" s="37"/>
      <c r="AN92" s="37"/>
      <c r="AO92" s="37"/>
      <c r="AP92" s="37"/>
    </row>
    <row r="93" spans="1:42" s="40" customFormat="1" ht="13.5" customHeight="1">
      <c r="A93" s="103"/>
      <c r="B93" s="576"/>
      <c r="C93" s="576"/>
      <c r="D93" s="576"/>
      <c r="E93" s="577"/>
      <c r="F93" s="578" t="s">
        <v>503</v>
      </c>
      <c r="G93" s="577"/>
      <c r="H93" s="1289" t="s">
        <v>500</v>
      </c>
      <c r="I93" s="1289"/>
      <c r="J93" s="1289" t="s">
        <v>504</v>
      </c>
      <c r="K93" s="1289"/>
      <c r="L93" s="37"/>
      <c r="M93" s="37"/>
      <c r="N93" s="37"/>
      <c r="O93" s="37"/>
      <c r="P93" s="37"/>
      <c r="Q93" s="37"/>
      <c r="R93" s="37"/>
      <c r="S93" s="37"/>
      <c r="T93" s="37"/>
      <c r="U93" s="277"/>
      <c r="V93" s="37"/>
      <c r="W93" s="37"/>
      <c r="X93" s="37"/>
      <c r="Y93" s="37"/>
      <c r="Z93" s="37"/>
      <c r="AA93" s="37"/>
      <c r="AB93" s="37"/>
      <c r="AC93" s="37"/>
      <c r="AD93" s="37"/>
      <c r="AE93" s="37"/>
      <c r="AF93" s="37"/>
      <c r="AG93" s="37"/>
      <c r="AH93" s="37"/>
      <c r="AI93" s="37"/>
      <c r="AJ93" s="37"/>
      <c r="AK93" s="37"/>
      <c r="AL93" s="37"/>
      <c r="AM93" s="37"/>
      <c r="AN93" s="37"/>
      <c r="AO93" s="37"/>
      <c r="AP93" s="37"/>
    </row>
    <row r="94" spans="1:42" s="40" customFormat="1" ht="27.75" customHeight="1">
      <c r="A94" s="379"/>
      <c r="B94" s="50"/>
      <c r="C94" s="379"/>
      <c r="D94" s="379"/>
      <c r="E94" s="379"/>
      <c r="F94" s="579"/>
      <c r="G94" s="579"/>
      <c r="H94" s="379"/>
      <c r="I94" s="379"/>
      <c r="K94" s="37"/>
      <c r="L94" s="37"/>
      <c r="M94" s="37"/>
      <c r="N94" s="37"/>
      <c r="O94" s="37"/>
      <c r="P94" s="37"/>
      <c r="Q94" s="37"/>
      <c r="R94" s="37"/>
      <c r="S94" s="37"/>
      <c r="T94" s="37"/>
      <c r="U94" s="277"/>
      <c r="V94" s="37"/>
      <c r="W94" s="37"/>
      <c r="X94" s="37"/>
      <c r="Y94" s="37"/>
      <c r="Z94" s="37"/>
      <c r="AA94" s="37"/>
      <c r="AB94" s="37"/>
      <c r="AC94" s="37"/>
      <c r="AD94" s="37"/>
      <c r="AE94" s="37"/>
      <c r="AF94" s="37"/>
      <c r="AG94" s="37"/>
      <c r="AH94" s="37"/>
      <c r="AI94" s="37"/>
      <c r="AJ94" s="37"/>
      <c r="AK94" s="37"/>
      <c r="AL94" s="37"/>
      <c r="AM94" s="37"/>
      <c r="AN94" s="37"/>
      <c r="AO94" s="37"/>
      <c r="AP94" s="37"/>
    </row>
    <row r="95" spans="1:42" s="40" customFormat="1" ht="27.75" customHeight="1">
      <c r="K95" s="37"/>
      <c r="L95" s="37"/>
      <c r="M95" s="37"/>
      <c r="N95" s="37"/>
      <c r="O95" s="37"/>
      <c r="P95" s="37"/>
      <c r="Q95" s="37"/>
      <c r="R95" s="37"/>
      <c r="S95" s="37"/>
      <c r="T95" s="37"/>
      <c r="U95" s="277"/>
      <c r="V95" s="37"/>
      <c r="W95" s="37"/>
      <c r="X95" s="37"/>
      <c r="Y95" s="37"/>
      <c r="Z95" s="37"/>
      <c r="AA95" s="37"/>
      <c r="AB95" s="37"/>
      <c r="AC95" s="37"/>
      <c r="AD95" s="37"/>
      <c r="AE95" s="37"/>
      <c r="AF95" s="37"/>
      <c r="AG95" s="37"/>
      <c r="AH95" s="37"/>
      <c r="AI95" s="37"/>
      <c r="AJ95" s="37"/>
      <c r="AK95" s="37"/>
      <c r="AL95" s="37"/>
      <c r="AM95" s="37"/>
      <c r="AN95" s="37"/>
      <c r="AO95" s="37"/>
      <c r="AP95" s="37"/>
    </row>
    <row r="96" spans="1:42" s="40" customFormat="1" ht="27.75" customHeight="1">
      <c r="K96" s="37"/>
      <c r="L96" s="37"/>
      <c r="M96" s="37"/>
      <c r="N96" s="37"/>
      <c r="O96" s="37"/>
      <c r="P96" s="37"/>
      <c r="Q96" s="37"/>
      <c r="R96" s="37"/>
      <c r="S96" s="37"/>
      <c r="T96" s="37"/>
      <c r="U96" s="277"/>
      <c r="V96" s="37"/>
      <c r="W96" s="37"/>
      <c r="X96" s="37"/>
      <c r="Y96" s="37"/>
      <c r="Z96" s="37"/>
      <c r="AA96" s="37"/>
      <c r="AB96" s="37"/>
      <c r="AC96" s="37"/>
      <c r="AD96" s="37"/>
      <c r="AE96" s="37"/>
      <c r="AF96" s="37"/>
      <c r="AG96" s="37"/>
      <c r="AH96" s="37"/>
      <c r="AI96" s="37"/>
      <c r="AJ96" s="37"/>
      <c r="AK96" s="37"/>
      <c r="AL96" s="37"/>
      <c r="AM96" s="37"/>
      <c r="AN96" s="37"/>
      <c r="AO96" s="37"/>
      <c r="AP96" s="37"/>
    </row>
    <row r="97" spans="11:42" s="40" customFormat="1" ht="14.4">
      <c r="K97" s="37"/>
      <c r="L97" s="37"/>
      <c r="M97" s="37"/>
      <c r="N97" s="37"/>
      <c r="O97" s="37"/>
      <c r="P97" s="37"/>
      <c r="Q97" s="37"/>
      <c r="R97" s="37"/>
      <c r="S97" s="37"/>
      <c r="T97" s="37"/>
      <c r="U97" s="277"/>
      <c r="V97" s="37"/>
      <c r="W97" s="37"/>
      <c r="X97" s="37"/>
      <c r="Y97" s="37"/>
      <c r="Z97" s="37"/>
      <c r="AA97" s="37"/>
      <c r="AB97" s="37"/>
      <c r="AC97" s="37"/>
      <c r="AD97" s="37"/>
      <c r="AE97" s="37"/>
      <c r="AF97" s="37"/>
      <c r="AG97" s="37"/>
      <c r="AH97" s="37"/>
      <c r="AI97" s="37"/>
      <c r="AJ97" s="37"/>
      <c r="AK97" s="37"/>
      <c r="AL97" s="37"/>
      <c r="AM97" s="37"/>
      <c r="AN97" s="37"/>
      <c r="AO97" s="37"/>
      <c r="AP97" s="37"/>
    </row>
    <row r="98" spans="11:42" s="40" customFormat="1">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row>
    <row r="99" spans="11:42" s="40" customFormat="1">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row>
    <row r="100" spans="11:42" s="40" customFormat="1">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row>
    <row r="101" spans="11:42" s="40" customFormat="1">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row>
    <row r="102" spans="11:42" s="40" customFormat="1">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row>
    <row r="103" spans="11:42" s="40" customFormat="1">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row>
    <row r="104" spans="11:42" s="40" customFormat="1">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row>
    <row r="105" spans="11:42" s="40" customFormat="1">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row>
    <row r="106" spans="11:42" s="40" customFormat="1">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row>
    <row r="107" spans="11:42" s="40" customFormat="1">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row>
    <row r="108" spans="11:42" s="40" customFormat="1">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row>
    <row r="109" spans="11:42" s="40" customFormat="1">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row>
    <row r="110" spans="11:42" s="40" customFormat="1">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row>
    <row r="111" spans="11:42" s="40" customFormat="1">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row>
    <row r="112" spans="11:42" s="40" customFormat="1">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row>
    <row r="113" spans="12:42" s="40" customFormat="1">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row>
    <row r="114" spans="12:42" s="40" customFormat="1">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row>
    <row r="115" spans="12:42" s="40" customFormat="1">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row>
    <row r="116" spans="12:42" s="40" customFormat="1">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row>
    <row r="117" spans="12:42" s="40" customFormat="1">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row>
    <row r="118" spans="12:42" s="40" customFormat="1">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row>
    <row r="119" spans="12:42" s="40" customFormat="1">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row>
    <row r="120" spans="12:42" s="40" customFormat="1">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row>
    <row r="121" spans="12:42" s="40" customFormat="1">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row>
    <row r="122" spans="12:42" s="40" customFormat="1">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row>
    <row r="123" spans="12:42" s="40" customFormat="1">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row>
    <row r="124" spans="12:42" s="40" customFormat="1">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row>
    <row r="125" spans="12:42" s="40" customFormat="1">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row>
    <row r="126" spans="12:42" s="40" customFormat="1">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row>
    <row r="127" spans="12:42" s="40" customFormat="1">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row>
    <row r="128" spans="12:42" s="40" customFormat="1">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row>
    <row r="129" spans="12:42" s="40" customFormat="1">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row>
    <row r="130" spans="12:42" s="40" customFormat="1">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row>
    <row r="131" spans="12:42" s="40" customFormat="1">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row>
    <row r="132" spans="12:42" s="40" customFormat="1">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row>
    <row r="133" spans="12:42" s="40" customFormat="1">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row>
    <row r="134" spans="12:42" s="40" customFormat="1">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row>
    <row r="135" spans="12:42" s="40" customFormat="1">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row>
    <row r="136" spans="12:42" s="40" customFormat="1">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row>
    <row r="137" spans="12:42" s="40" customFormat="1">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row>
    <row r="138" spans="12:42" s="40" customFormat="1">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row>
    <row r="139" spans="12:42" s="40" customFormat="1">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row>
    <row r="140" spans="12:42" s="40" customFormat="1">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row>
    <row r="141" spans="12:42" s="40" customFormat="1">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row>
    <row r="142" spans="12:42" s="40" customFormat="1">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row>
    <row r="143" spans="12:42" s="40" customFormat="1">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row>
    <row r="144" spans="12:42" s="40" customFormat="1">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row>
    <row r="145" spans="12:42" s="40" customFormat="1">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row>
    <row r="146" spans="12:42" s="40" customFormat="1">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row>
    <row r="147" spans="12:42" s="40" customFormat="1">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row>
    <row r="148" spans="12:42" s="40" customFormat="1">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row>
    <row r="149" spans="12:42" s="40" customFormat="1">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row>
    <row r="150" spans="12:42" s="40" customFormat="1">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row>
    <row r="151" spans="12:42" s="40" customFormat="1">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row>
    <row r="152" spans="12:42" s="40" customFormat="1">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row>
    <row r="153" spans="12:42" s="40" customFormat="1">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row>
    <row r="154" spans="12:42" s="40" customFormat="1">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row>
    <row r="155" spans="12:42" s="40" customFormat="1">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row>
    <row r="156" spans="12:42" s="40" customFormat="1">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row>
    <row r="157" spans="12:42" s="40" customFormat="1">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row>
    <row r="158" spans="12:42" s="40" customFormat="1">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row>
    <row r="159" spans="12:42" s="40" customFormat="1">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row>
    <row r="160" spans="12:42" s="40" customFormat="1">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row>
    <row r="161" spans="12:42" s="40" customFormat="1">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row>
    <row r="162" spans="12:42" s="40" customFormat="1">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row>
    <row r="163" spans="12:42" s="40" customFormat="1">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row>
    <row r="164" spans="12:42" s="40" customFormat="1">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row>
    <row r="165" spans="12:42" s="40" customFormat="1">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row>
    <row r="166" spans="12:42" s="40" customFormat="1">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row>
    <row r="167" spans="12:42" s="40" customFormat="1">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row>
    <row r="168" spans="12:42" s="40" customFormat="1">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row>
    <row r="169" spans="12:42" s="40" customFormat="1">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row>
    <row r="170" spans="12:42" s="40" customFormat="1">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row>
    <row r="171" spans="12:42" s="40" customFormat="1">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row>
    <row r="172" spans="12:42" s="40" customFormat="1">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row>
    <row r="173" spans="12:42" s="40" customFormat="1">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row>
    <row r="174" spans="12:42" s="40" customFormat="1">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row>
    <row r="175" spans="12:42" s="40" customFormat="1">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row>
    <row r="176" spans="12:42" s="40" customFormat="1">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row>
    <row r="177" spans="12:42" s="40" customFormat="1">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row>
    <row r="178" spans="12:42" s="40" customFormat="1">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row>
    <row r="179" spans="12:42" s="40" customFormat="1">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row>
    <row r="180" spans="12:42" s="40" customFormat="1">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row>
    <row r="181" spans="12:42" s="40" customFormat="1">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row>
    <row r="182" spans="12:42" s="40" customFormat="1">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row>
    <row r="183" spans="12:42" s="40" customFormat="1">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row>
    <row r="184" spans="12:42" s="40" customFormat="1">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row>
    <row r="185" spans="12:42" s="40" customFormat="1">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row>
    <row r="186" spans="12:42" s="40" customFormat="1">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row>
    <row r="187" spans="12:42" s="40" customFormat="1">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row>
    <row r="188" spans="12:42" s="40" customFormat="1">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row>
    <row r="189" spans="12:42" s="40" customFormat="1">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row>
    <row r="190" spans="12:42" s="40" customFormat="1">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row>
    <row r="191" spans="12:42" s="40" customFormat="1">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row>
    <row r="192" spans="12:42" s="40" customFormat="1">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row>
    <row r="193" spans="12:42" s="40" customFormat="1">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row>
    <row r="194" spans="12:42" s="40" customFormat="1">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row>
    <row r="195" spans="12:42" s="40" customFormat="1">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row>
    <row r="196" spans="12:42" s="40" customFormat="1">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row>
    <row r="197" spans="12:42" s="40" customFormat="1">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row>
    <row r="198" spans="12:42" s="40" customFormat="1">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row>
    <row r="199" spans="12:42" s="40" customFormat="1">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row>
    <row r="200" spans="12:42" s="40" customFormat="1">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row>
    <row r="201" spans="12:42" s="40" customFormat="1">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row>
    <row r="202" spans="12:42" s="40" customFormat="1">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row>
    <row r="203" spans="12:42" s="40" customFormat="1">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row>
    <row r="204" spans="12:42" s="40" customFormat="1">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row>
    <row r="205" spans="12:42" s="40" customFormat="1">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row>
    <row r="206" spans="12:42" s="40" customFormat="1">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row>
    <row r="207" spans="12:42" s="40" customFormat="1">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row>
    <row r="208" spans="12:42" s="40" customFormat="1">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row>
    <row r="209" spans="12:42" s="40" customFormat="1">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row>
    <row r="210" spans="12:42" s="40" customFormat="1">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row>
    <row r="211" spans="12:42" s="40" customFormat="1">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row>
    <row r="212" spans="12:42" s="40" customFormat="1">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row>
    <row r="213" spans="12:42" s="40" customFormat="1">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row>
    <row r="214" spans="12:42" s="40" customFormat="1">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row>
    <row r="215" spans="12:42" s="40" customFormat="1">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row>
    <row r="216" spans="12:42" s="40" customFormat="1">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row>
    <row r="217" spans="12:42" s="40" customFormat="1">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row>
    <row r="218" spans="12:42" s="40" customFormat="1">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row>
    <row r="219" spans="12:42" s="40" customFormat="1">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row>
    <row r="220" spans="12:42" s="40" customFormat="1">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row>
    <row r="221" spans="12:42" s="40" customFormat="1">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row>
    <row r="222" spans="12:42" s="40" customFormat="1">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row>
    <row r="223" spans="12:42" s="40" customFormat="1">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row>
    <row r="224" spans="12:42" s="40" customFormat="1">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row>
    <row r="225" spans="12:42" s="40" customFormat="1">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row>
    <row r="226" spans="12:42" s="40" customFormat="1">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row>
    <row r="227" spans="12:42" s="40" customFormat="1">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row>
    <row r="228" spans="12:42" s="40" customFormat="1">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row>
    <row r="229" spans="12:42" s="40" customFormat="1">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row>
    <row r="230" spans="12:42" s="40" customFormat="1">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row>
    <row r="231" spans="12:42" s="40" customFormat="1">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row>
    <row r="232" spans="12:42" s="40" customFormat="1">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row>
    <row r="233" spans="12:42" s="40" customFormat="1">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row>
    <row r="234" spans="12:42" s="40" customFormat="1">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row>
    <row r="235" spans="12:42" s="40" customFormat="1">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row>
    <row r="236" spans="12:42" s="40" customFormat="1">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row>
    <row r="237" spans="12:42" s="40" customFormat="1">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row>
    <row r="238" spans="12:42" s="40" customFormat="1">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row>
    <row r="239" spans="12:42" s="40" customFormat="1">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row>
    <row r="240" spans="12:42" s="40" customFormat="1">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row>
    <row r="241" spans="12:42" s="40" customFormat="1">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row>
    <row r="242" spans="12:42" s="40" customFormat="1">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row>
    <row r="243" spans="12:42" s="40" customFormat="1">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row>
    <row r="244" spans="12:42" s="40" customFormat="1">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row>
    <row r="245" spans="12:42" s="40" customFormat="1">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row>
    <row r="246" spans="12:42" s="40" customFormat="1">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row>
    <row r="247" spans="12:42" s="40" customFormat="1">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row>
    <row r="248" spans="12:42" s="40" customFormat="1">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row>
    <row r="249" spans="12:42" s="40" customFormat="1">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row>
    <row r="250" spans="12:42" s="40" customFormat="1">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row>
    <row r="251" spans="12:42" s="40" customFormat="1">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row>
    <row r="252" spans="12:42" s="40" customFormat="1">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row>
    <row r="253" spans="12:42" s="40" customFormat="1">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row>
    <row r="254" spans="12:42" s="40" customFormat="1">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row>
    <row r="255" spans="12:42" s="40" customFormat="1">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row>
    <row r="256" spans="12:42" s="40" customFormat="1">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row>
    <row r="257" spans="12:42" s="40" customFormat="1">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row>
    <row r="258" spans="12:42" s="40" customFormat="1">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row>
    <row r="259" spans="12:42" s="40" customFormat="1">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row>
    <row r="260" spans="12:42" s="40" customFormat="1">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row>
    <row r="261" spans="12:42" s="40" customFormat="1">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row>
    <row r="262" spans="12:42" s="40" customFormat="1">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row>
    <row r="263" spans="12:42" s="40" customFormat="1">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row>
    <row r="264" spans="12:42" s="40" customFormat="1">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row>
    <row r="265" spans="12:42" s="40" customFormat="1">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row>
    <row r="266" spans="12:42" s="40" customFormat="1">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row>
    <row r="267" spans="12:42" s="40" customFormat="1">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row>
    <row r="268" spans="12:42" s="40" customFormat="1">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row>
    <row r="269" spans="12:42" s="40" customFormat="1">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row>
    <row r="270" spans="12:42" s="40" customFormat="1">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row>
    <row r="271" spans="12:42" s="40" customFormat="1">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row>
    <row r="272" spans="12:42" s="40" customFormat="1">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row>
    <row r="273" spans="2:42" s="40" customFormat="1">
      <c r="G273" s="32"/>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row>
    <row r="274" spans="2:42" s="40" customFormat="1">
      <c r="G274" s="32"/>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row>
    <row r="275" spans="2:42" s="40" customFormat="1">
      <c r="G275" s="32"/>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row>
    <row r="276" spans="2:42" s="40" customFormat="1">
      <c r="G276" s="32"/>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row>
    <row r="277" spans="2:42" s="40" customFormat="1">
      <c r="G277" s="32"/>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row>
    <row r="278" spans="2:42" s="40" customFormat="1">
      <c r="B278" s="32"/>
      <c r="C278" s="32"/>
      <c r="D278" s="32"/>
      <c r="E278" s="32"/>
      <c r="F278" s="32"/>
      <c r="G278" s="32"/>
      <c r="H278" s="32"/>
      <c r="I278" s="32"/>
      <c r="J278" s="32"/>
      <c r="K278" s="32"/>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row>
    <row r="279" spans="2:42" s="40" customFormat="1">
      <c r="B279" s="32"/>
      <c r="C279" s="32"/>
      <c r="D279" s="32"/>
      <c r="E279" s="32"/>
      <c r="F279" s="32"/>
      <c r="G279" s="32"/>
      <c r="H279" s="32"/>
      <c r="I279" s="32"/>
      <c r="J279" s="32"/>
      <c r="K279" s="32"/>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row>
    <row r="280" spans="2:42" s="40" customFormat="1">
      <c r="B280" s="32"/>
      <c r="C280" s="32"/>
      <c r="D280" s="32"/>
      <c r="E280" s="32"/>
      <c r="F280" s="32"/>
      <c r="G280" s="32"/>
      <c r="H280" s="32"/>
      <c r="I280" s="32"/>
      <c r="J280" s="32"/>
      <c r="K280" s="32"/>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row>
    <row r="281" spans="2:42" s="40" customFormat="1">
      <c r="B281" s="32"/>
      <c r="C281" s="32"/>
      <c r="D281" s="32"/>
      <c r="E281" s="32"/>
      <c r="F281" s="32"/>
      <c r="G281" s="32"/>
      <c r="H281" s="32"/>
      <c r="I281" s="32"/>
      <c r="J281" s="32"/>
      <c r="K281" s="32"/>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row>
  </sheetData>
  <mergeCells count="86">
    <mergeCell ref="B89:D89"/>
    <mergeCell ref="H93:I93"/>
    <mergeCell ref="E91:G91"/>
    <mergeCell ref="H91:I91"/>
    <mergeCell ref="E92:G92"/>
    <mergeCell ref="H92:I92"/>
    <mergeCell ref="E89:K89"/>
    <mergeCell ref="J93:K93"/>
    <mergeCell ref="J92:K92"/>
    <mergeCell ref="B90:D90"/>
    <mergeCell ref="E90:K90"/>
    <mergeCell ref="B88:D88"/>
    <mergeCell ref="B82:D82"/>
    <mergeCell ref="E82:K82"/>
    <mergeCell ref="B83:D83"/>
    <mergeCell ref="E83:K83"/>
    <mergeCell ref="E88:K88"/>
    <mergeCell ref="E87:K87"/>
    <mergeCell ref="E86:K86"/>
    <mergeCell ref="B84:I84"/>
    <mergeCell ref="B85:D85"/>
    <mergeCell ref="E85:K85"/>
    <mergeCell ref="B86:D86"/>
    <mergeCell ref="E78:K78"/>
    <mergeCell ref="B87:D87"/>
    <mergeCell ref="B81:D81"/>
    <mergeCell ref="E81:K81"/>
    <mergeCell ref="B80:I80"/>
    <mergeCell ref="E79:K79"/>
    <mergeCell ref="B79:D79"/>
    <mergeCell ref="B78:D78"/>
    <mergeCell ref="B77:D77"/>
    <mergeCell ref="E66:K66"/>
    <mergeCell ref="E67:K67"/>
    <mergeCell ref="B71:D71"/>
    <mergeCell ref="B72:D72"/>
    <mergeCell ref="B73:D73"/>
    <mergeCell ref="E71:K71"/>
    <mergeCell ref="E72:K72"/>
    <mergeCell ref="E73:K73"/>
    <mergeCell ref="E77:K77"/>
    <mergeCell ref="B69:D69"/>
    <mergeCell ref="E76:K76"/>
    <mergeCell ref="B76:D76"/>
    <mergeCell ref="E75:K75"/>
    <mergeCell ref="B75:D75"/>
    <mergeCell ref="B68:D68"/>
    <mergeCell ref="A1:K1"/>
    <mergeCell ref="B3:C3"/>
    <mergeCell ref="B2:K2"/>
    <mergeCell ref="F4:G4"/>
    <mergeCell ref="I6:J6"/>
    <mergeCell ref="D3:J3"/>
    <mergeCell ref="H4:J4"/>
    <mergeCell ref="B7:C7"/>
    <mergeCell ref="B55:J55"/>
    <mergeCell ref="B8:C8"/>
    <mergeCell ref="B4:C4"/>
    <mergeCell ref="B6:C6"/>
    <mergeCell ref="G11:H11"/>
    <mergeCell ref="J15:J16"/>
    <mergeCell ref="H14:H16"/>
    <mergeCell ref="I15:I16"/>
    <mergeCell ref="G12:H12"/>
    <mergeCell ref="F5:H5"/>
    <mergeCell ref="G13:H13"/>
    <mergeCell ref="B9:D9"/>
    <mergeCell ref="B62:D62"/>
    <mergeCell ref="E61:K61"/>
    <mergeCell ref="E62:K62"/>
    <mergeCell ref="E64:K64"/>
    <mergeCell ref="B63:I63"/>
    <mergeCell ref="B64:D64"/>
    <mergeCell ref="B56:J56"/>
    <mergeCell ref="B57:J57"/>
    <mergeCell ref="E60:K60"/>
    <mergeCell ref="B60:D60"/>
    <mergeCell ref="B61:D61"/>
    <mergeCell ref="B74:K74"/>
    <mergeCell ref="E69:K69"/>
    <mergeCell ref="B70:I70"/>
    <mergeCell ref="B65:D65"/>
    <mergeCell ref="E65:K65"/>
    <mergeCell ref="E68:K68"/>
    <mergeCell ref="B66:D66"/>
    <mergeCell ref="B67:D67"/>
  </mergeCells>
  <phoneticPr fontId="23" type="noConversion"/>
  <dataValidations count="4">
    <dataValidation type="list" allowBlank="1" showInputMessage="1" showErrorMessage="1" sqref="I5" xr:uid="{23A5796B-24B6-4071-A77B-37FD4F588594}">
      <formula1>"Rehabilitation, New Construction, Rehab &amp; New Const., Adaptive Reuse"</formula1>
    </dataValidation>
    <dataValidation type="list" allowBlank="1" showInputMessage="1" showErrorMessage="1" sqref="D6:D7" xr:uid="{E3CF5B73-E2AB-4652-B2FE-930B9D203708}">
      <formula1>"Single-Family Detached, SRO, Duplex, Group Home, Townhome, Tri-plex, Elevator Apts, Row House, Four-plex, Walk-up, Other"</formula1>
    </dataValidation>
    <dataValidation type="list" allowBlank="1" showInputMessage="1" showErrorMessage="1" sqref="E9 I7" xr:uid="{FA91D049-CB11-42BF-9AD1-F3D83B2DF923}">
      <formula1>"Yes, No"</formula1>
    </dataValidation>
    <dataValidation type="list" allowBlank="1" showInputMessage="1" showErrorMessage="1" sqref="N6 I6" xr:uid="{00000000-0002-0000-0100-000013000000}">
      <formula1>"Elderly 55+, Elderly 62+, Family, Special Needs, Transitional, Multiple Populations, Other"</formula1>
    </dataValidation>
  </dataValidations>
  <printOptions horizontalCentered="1"/>
  <pageMargins left="0.5" right="0.5" top="0.65" bottom="0.9" header="0.5" footer="0.25"/>
  <pageSetup scale="81" fitToHeight="3" orientation="portrait" r:id="rId1"/>
  <headerFooter alignWithMargins="0">
    <oddFooter>&amp;L&amp;10&amp;F
&amp;A&amp;R&amp;10Louisville Metro Government
Page &amp;P of &amp;N</oddFooter>
  </headerFooter>
  <rowBreaks count="2" manualBreakCount="2">
    <brk id="52" max="10" man="1"/>
    <brk id="81" max="10" man="1"/>
  </rowBreaks>
  <ignoredErrors>
    <ignoredError sqref="D34" formula="1"/>
    <ignoredError sqref="J4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E201"/>
  <sheetViews>
    <sheetView showGridLines="0" topLeftCell="A115" zoomScale="80" zoomScaleNormal="80" zoomScaleSheetLayoutView="50" zoomScalePageLayoutView="80" workbookViewId="0">
      <selection activeCell="F33" sqref="F33"/>
    </sheetView>
  </sheetViews>
  <sheetFormatPr defaultColWidth="8.90625" defaultRowHeight="17.100000000000001" customHeight="1"/>
  <cols>
    <col min="1" max="1" width="1.54296875" customWidth="1"/>
    <col min="2" max="2" width="0.81640625" customWidth="1"/>
    <col min="3" max="3" width="1.6328125" style="13" customWidth="1"/>
    <col min="4" max="4" width="41.08984375" customWidth="1"/>
    <col min="5" max="5" width="13.453125" customWidth="1"/>
    <col min="6" max="7" width="15" customWidth="1"/>
    <col min="8" max="8" width="13.81640625" customWidth="1"/>
    <col min="9" max="9" width="19.54296875" customWidth="1"/>
    <col min="10" max="10" width="10.453125" customWidth="1"/>
    <col min="11" max="11" width="10.90625" customWidth="1"/>
    <col min="12" max="12" width="10.6328125" customWidth="1"/>
    <col min="13" max="13" width="22.26953125" style="192" customWidth="1"/>
    <col min="14" max="14" width="15.90625" style="192" customWidth="1"/>
    <col min="15" max="15" width="34.7265625" style="192" customWidth="1"/>
    <col min="16" max="16" width="35.36328125" customWidth="1"/>
    <col min="17" max="20" width="8.90625" customWidth="1"/>
  </cols>
  <sheetData>
    <row r="1" spans="2:31" ht="20.25" customHeight="1">
      <c r="B1" s="1349" t="str">
        <f ca="1">name</f>
        <v>RENTAL PRODUCTION APPLICATION</v>
      </c>
      <c r="C1" s="1349"/>
      <c r="D1" s="1349"/>
      <c r="E1" s="1349"/>
      <c r="F1" s="1349"/>
      <c r="G1" s="1349"/>
      <c r="H1" s="1349"/>
      <c r="I1" s="1349"/>
      <c r="J1" s="1349"/>
      <c r="K1" s="1349"/>
      <c r="L1" s="1349"/>
    </row>
    <row r="2" spans="2:31" ht="22.8">
      <c r="B2" s="1246" t="s">
        <v>256</v>
      </c>
      <c r="C2" s="1246"/>
      <c r="D2" s="1246"/>
      <c r="E2" s="1246"/>
      <c r="F2" s="1246"/>
      <c r="G2" s="1246"/>
      <c r="H2" s="1246"/>
      <c r="I2" s="1246"/>
      <c r="J2" s="1246"/>
      <c r="K2" s="1246"/>
      <c r="L2" s="1246"/>
    </row>
    <row r="3" spans="2:31" ht="11.4" customHeight="1">
      <c r="B3" s="320"/>
      <c r="C3" s="320"/>
      <c r="D3" s="320"/>
      <c r="E3" s="320"/>
      <c r="F3" s="320"/>
      <c r="G3" s="320"/>
      <c r="H3" s="320"/>
      <c r="I3" s="320"/>
    </row>
    <row r="4" spans="2:31" s="63" customFormat="1" ht="15">
      <c r="B4" s="619"/>
      <c r="C4" s="619"/>
      <c r="D4" s="620" t="s">
        <v>463</v>
      </c>
      <c r="E4" s="370">
        <f>Units</f>
        <v>0</v>
      </c>
      <c r="F4" s="1336" t="s">
        <v>462</v>
      </c>
      <c r="G4" s="1336"/>
      <c r="H4" s="1335">
        <f>'1)Summary'!D6</f>
        <v>0</v>
      </c>
      <c r="I4" s="1335"/>
      <c r="M4" s="296"/>
      <c r="N4" s="296"/>
      <c r="O4" s="296"/>
    </row>
    <row r="5" spans="2:31" s="63" customFormat="1" ht="15">
      <c r="B5" s="619"/>
      <c r="C5" s="619"/>
      <c r="D5" s="620" t="s">
        <v>786</v>
      </c>
      <c r="E5" s="1335">
        <f>Construction</f>
        <v>0</v>
      </c>
      <c r="F5" s="1335"/>
      <c r="G5" s="620" t="s">
        <v>509</v>
      </c>
      <c r="H5" s="370">
        <f>Owner</f>
        <v>0</v>
      </c>
      <c r="I5" s="619"/>
      <c r="M5" s="296"/>
      <c r="N5" s="296"/>
      <c r="O5" s="296"/>
    </row>
    <row r="6" spans="2:31" s="1" customFormat="1" ht="15">
      <c r="C6" s="8"/>
      <c r="D6" s="620" t="s">
        <v>621</v>
      </c>
      <c r="E6" s="370">
        <f>'1)Summary'!E9</f>
        <v>0</v>
      </c>
      <c r="F6" s="370"/>
      <c r="G6" s="620"/>
      <c r="H6" s="370"/>
      <c r="I6" s="30"/>
      <c r="M6" s="192"/>
      <c r="N6" s="192"/>
      <c r="O6" s="192"/>
      <c r="P6" s="621"/>
      <c r="Q6" s="621"/>
      <c r="R6" s="96"/>
    </row>
    <row r="7" spans="2:31" ht="22.8">
      <c r="B7" s="606" t="s">
        <v>347</v>
      </c>
      <c r="F7" s="5"/>
      <c r="G7" s="6"/>
      <c r="H7" s="6"/>
      <c r="S7" s="31"/>
    </row>
    <row r="8" spans="2:31" ht="22.8">
      <c r="B8" s="606"/>
      <c r="C8" s="1136" t="s">
        <v>790</v>
      </c>
      <c r="F8" s="5"/>
      <c r="G8" s="6"/>
      <c r="H8" s="6"/>
      <c r="S8" s="31"/>
    </row>
    <row r="9" spans="2:31" ht="22.8">
      <c r="B9" s="606"/>
      <c r="C9" s="1137" t="s">
        <v>797</v>
      </c>
      <c r="E9" s="14"/>
      <c r="F9" s="5"/>
      <c r="G9" s="6"/>
      <c r="H9" s="6"/>
      <c r="S9" s="31"/>
    </row>
    <row r="10" spans="2:31" ht="9" customHeight="1">
      <c r="K10" s="1309" t="s">
        <v>549</v>
      </c>
      <c r="L10" s="1309" t="s">
        <v>550</v>
      </c>
      <c r="M10" s="1309" t="s">
        <v>738</v>
      </c>
      <c r="N10" s="1311" t="s">
        <v>788</v>
      </c>
      <c r="O10" s="32"/>
      <c r="Q10" s="32"/>
      <c r="S10" s="31"/>
    </row>
    <row r="11" spans="2:31" s="1" customFormat="1" ht="17.100000000000001" customHeight="1">
      <c r="B11" s="216"/>
      <c r="C11" s="8"/>
      <c r="D11" s="97" t="s">
        <v>345</v>
      </c>
      <c r="E11" s="1132"/>
      <c r="F11" s="95" t="s">
        <v>67</v>
      </c>
      <c r="G11" s="95" t="s">
        <v>161</v>
      </c>
      <c r="H11" s="95" t="s">
        <v>447</v>
      </c>
      <c r="I11" s="95" t="s">
        <v>511</v>
      </c>
      <c r="J11" s="198" t="s">
        <v>159</v>
      </c>
      <c r="K11" s="1310"/>
      <c r="L11" s="1310"/>
      <c r="M11" s="1310"/>
      <c r="N11" s="1312"/>
      <c r="O11" s="842" t="s">
        <v>789</v>
      </c>
      <c r="Q11" s="32"/>
      <c r="R11" s="58"/>
      <c r="T11" s="60"/>
      <c r="U11" s="58"/>
      <c r="X11" s="58"/>
      <c r="AA11" s="58"/>
    </row>
    <row r="12" spans="2:31" s="1" customFormat="1" ht="17.100000000000001" customHeight="1">
      <c r="B12" s="216"/>
      <c r="C12" s="8"/>
      <c r="D12" s="1362" t="s">
        <v>795</v>
      </c>
      <c r="E12" s="1362"/>
      <c r="F12" s="1127"/>
      <c r="G12" s="977">
        <f>IFERROR(F12/Units,0)</f>
        <v>0</v>
      </c>
      <c r="H12" s="1128"/>
      <c r="I12" s="1129"/>
      <c r="J12" s="1130"/>
      <c r="K12" s="1011" t="str">
        <f>IF(ISERROR((PMT(H12/12,I12*12,-F12))*12),"",(PMT(H12/12,I12*12,-F12))*12)</f>
        <v/>
      </c>
      <c r="L12" s="1131"/>
      <c r="M12" s="1150"/>
      <c r="N12" s="1147"/>
      <c r="O12" s="1134"/>
      <c r="R12" s="58"/>
      <c r="T12" s="60"/>
      <c r="U12" s="58"/>
      <c r="X12" s="58"/>
      <c r="AA12" s="58"/>
    </row>
    <row r="13" spans="2:31" s="1" customFormat="1" ht="17.100000000000001" customHeight="1">
      <c r="B13" s="216"/>
      <c r="C13" s="8"/>
      <c r="D13" s="1142" t="s">
        <v>792</v>
      </c>
      <c r="E13" s="1140"/>
      <c r="F13" s="976"/>
      <c r="G13" s="977">
        <f t="shared" ref="G13" si="0">IFERROR(F13/Units,0)</f>
        <v>0</v>
      </c>
      <c r="H13" s="121"/>
      <c r="I13" s="119"/>
      <c r="J13" s="120"/>
      <c r="K13" s="506" t="str">
        <f t="shared" ref="K13" si="1">IF(ISERROR((PMT(H13/12,I13*12,-F13))*12),"",(PMT(H13/12,I13*12,-F13))*12)</f>
        <v/>
      </c>
      <c r="L13" s="230"/>
      <c r="M13" s="1144"/>
      <c r="N13" s="192"/>
      <c r="O13"/>
      <c r="R13" s="58"/>
      <c r="T13" s="60"/>
      <c r="U13" s="58"/>
      <c r="X13" s="58"/>
      <c r="AA13" s="58"/>
    </row>
    <row r="14" spans="2:31" s="1" customFormat="1" ht="17.100000000000001" customHeight="1">
      <c r="B14" s="216"/>
      <c r="C14" s="8"/>
      <c r="D14" s="1143" t="s">
        <v>791</v>
      </c>
      <c r="E14" s="1141"/>
      <c r="F14" s="1139"/>
      <c r="G14" s="977">
        <f t="shared" ref="G14:G19" si="2">IFERROR(F14/Units,0)</f>
        <v>0</v>
      </c>
      <c r="H14" s="930"/>
      <c r="I14" s="931"/>
      <c r="J14" s="932"/>
      <c r="K14" s="1011" t="str">
        <f t="shared" ref="K14:K15" si="3">IF(ISERROR((PMT(H14/12,I14*12,-F14))*12),"",(PMT(H14/12,I14*12,-F14))*12)</f>
        <v/>
      </c>
      <c r="L14" s="933"/>
      <c r="M14" s="1151"/>
      <c r="N14" s="1148"/>
      <c r="O14" s="1138"/>
      <c r="R14" s="58"/>
      <c r="T14" s="60"/>
      <c r="U14" s="58"/>
      <c r="X14" s="58"/>
      <c r="AA14" s="58"/>
    </row>
    <row r="15" spans="2:31" ht="17.100000000000001" customHeight="1">
      <c r="B15" s="140"/>
      <c r="D15" s="1352" t="s">
        <v>740</v>
      </c>
      <c r="E15" s="1352"/>
      <c r="F15" s="976"/>
      <c r="G15" s="977">
        <f t="shared" si="2"/>
        <v>0</v>
      </c>
      <c r="H15" s="118"/>
      <c r="I15" s="119"/>
      <c r="J15" s="120"/>
      <c r="K15" s="1011" t="str">
        <f t="shared" si="3"/>
        <v/>
      </c>
      <c r="L15" s="230"/>
      <c r="M15" s="1144"/>
      <c r="N15" s="1149"/>
      <c r="O15" s="1135"/>
      <c r="R15" s="23"/>
      <c r="S15" s="3"/>
      <c r="T15" s="1"/>
      <c r="U15" s="23"/>
      <c r="V15" s="3"/>
      <c r="W15" s="1"/>
      <c r="X15" s="23"/>
      <c r="Y15" s="3"/>
      <c r="Z15" s="1"/>
      <c r="AA15" s="23"/>
      <c r="AB15" s="3"/>
      <c r="AC15" s="1"/>
    </row>
    <row r="16" spans="2:31" ht="15.75" customHeight="1">
      <c r="B16" s="140"/>
      <c r="D16" s="1359" t="s">
        <v>793</v>
      </c>
      <c r="E16" s="1359"/>
      <c r="F16" s="976"/>
      <c r="G16" s="977">
        <f t="shared" si="2"/>
        <v>0</v>
      </c>
      <c r="H16" s="121"/>
      <c r="I16" s="119"/>
      <c r="J16" s="120"/>
      <c r="K16" s="506" t="str">
        <f>IF(ISERROR((PMT(H16/12,I16*12,-F16))*12),"",(PMT(H16/12,I16*12,-F16))*12)</f>
        <v/>
      </c>
      <c r="L16" s="230"/>
      <c r="M16" s="1144"/>
      <c r="N16" s="1149"/>
      <c r="O16" s="1133"/>
      <c r="Q16" s="28" t="s">
        <v>138</v>
      </c>
      <c r="R16" s="1"/>
      <c r="S16" s="1"/>
      <c r="T16" s="1"/>
      <c r="U16" s="1"/>
      <c r="V16" s="1"/>
      <c r="W16" s="1"/>
      <c r="X16" s="1"/>
      <c r="Y16" s="1"/>
      <c r="Z16" s="1"/>
      <c r="AA16" s="1"/>
      <c r="AB16" s="1"/>
      <c r="AC16" s="1"/>
      <c r="AD16" s="1"/>
      <c r="AE16" s="1"/>
    </row>
    <row r="17" spans="2:31" s="1" customFormat="1" ht="17.100000000000001" customHeight="1">
      <c r="B17" s="140"/>
      <c r="C17" s="8"/>
      <c r="D17" s="1353"/>
      <c r="E17" s="1354"/>
      <c r="F17" s="976"/>
      <c r="G17" s="977">
        <f t="shared" si="2"/>
        <v>0</v>
      </c>
      <c r="H17" s="121"/>
      <c r="I17" s="119"/>
      <c r="J17" s="120"/>
      <c r="K17" s="506" t="str">
        <f>IF(ISERROR((PMT(H17/12,I17*12,-F17))*12),"",(PMT(H17/12,I17*12,-F17))*12)</f>
        <v/>
      </c>
      <c r="L17" s="230"/>
      <c r="M17" s="1144"/>
      <c r="R17" s="23"/>
      <c r="S17" s="3"/>
      <c r="U17" s="23"/>
      <c r="V17" s="3"/>
      <c r="X17" s="23"/>
      <c r="Y17" s="3"/>
      <c r="AA17" s="23"/>
      <c r="AB17" s="3"/>
    </row>
    <row r="18" spans="2:31" ht="17.100000000000001" customHeight="1">
      <c r="B18" s="633"/>
      <c r="D18" s="1296"/>
      <c r="E18" s="1297"/>
      <c r="F18" s="976"/>
      <c r="G18" s="977">
        <f t="shared" si="2"/>
        <v>0</v>
      </c>
      <c r="H18" s="121"/>
      <c r="I18" s="119"/>
      <c r="J18" s="120"/>
      <c r="K18" s="1012" t="str">
        <f t="shared" ref="K18:K19" si="4">IF(ISERROR((PMT(H18/12,I18*12,-F18))*12),"",(PMT(H18/12,I18*12,-F18))*12)</f>
        <v/>
      </c>
      <c r="L18" s="230"/>
      <c r="M18" s="1144"/>
      <c r="O18"/>
      <c r="R18" s="23"/>
      <c r="S18" s="11"/>
      <c r="T18" s="1"/>
      <c r="U18" s="23"/>
      <c r="V18" s="11"/>
      <c r="W18" s="1"/>
      <c r="X18" s="23"/>
      <c r="Y18" s="61"/>
      <c r="Z18" s="1"/>
      <c r="AA18" s="23"/>
      <c r="AB18" s="11"/>
      <c r="AC18" s="1"/>
      <c r="AD18" s="1"/>
      <c r="AE18" s="1"/>
    </row>
    <row r="19" spans="2:31" ht="17.100000000000001" customHeight="1">
      <c r="B19" s="633"/>
      <c r="D19" s="1296"/>
      <c r="E19" s="1297"/>
      <c r="F19" s="976"/>
      <c r="G19" s="977">
        <f t="shared" si="2"/>
        <v>0</v>
      </c>
      <c r="H19" s="121"/>
      <c r="I19" s="119"/>
      <c r="J19" s="120"/>
      <c r="K19" s="506" t="str">
        <f t="shared" si="4"/>
        <v/>
      </c>
      <c r="L19" s="230"/>
      <c r="M19" s="1144"/>
      <c r="O19"/>
      <c r="R19" s="1"/>
      <c r="S19" s="1"/>
      <c r="T19" s="1"/>
      <c r="U19" s="23"/>
      <c r="V19" s="1"/>
      <c r="W19" s="1"/>
      <c r="X19" s="23"/>
      <c r="Y19" s="3"/>
      <c r="Z19" s="1"/>
      <c r="AA19" s="23"/>
      <c r="AB19" s="3"/>
      <c r="AC19" s="1"/>
      <c r="AD19" s="1"/>
      <c r="AE19" s="1"/>
    </row>
    <row r="20" spans="2:31" ht="18.600000000000001" customHeight="1">
      <c r="B20" s="382"/>
      <c r="D20" s="1338" t="s">
        <v>425</v>
      </c>
      <c r="E20" s="1338"/>
      <c r="F20" s="978">
        <f>SUM(F15:F19)</f>
        <v>0</v>
      </c>
      <c r="G20" s="978">
        <f>SUM(G15:G19)</f>
        <v>0</v>
      </c>
      <c r="H20" s="23"/>
      <c r="I20" s="64"/>
      <c r="J20" s="112"/>
      <c r="K20" s="265">
        <f>SUM(K15:K19)</f>
        <v>0</v>
      </c>
      <c r="L20" s="507">
        <f>SUM(L15:L19)</f>
        <v>0</v>
      </c>
      <c r="N20" s="1006"/>
      <c r="R20" s="1"/>
      <c r="S20" s="1"/>
      <c r="T20" s="1"/>
      <c r="U20" s="1"/>
      <c r="V20" s="1"/>
      <c r="W20" s="1"/>
      <c r="X20" s="1"/>
      <c r="Y20" s="1"/>
      <c r="Z20" s="1"/>
      <c r="AA20" s="1"/>
      <c r="AB20" s="1"/>
      <c r="AC20" s="1"/>
      <c r="AD20" s="1"/>
      <c r="AE20" s="1"/>
    </row>
    <row r="21" spans="2:31" ht="18" customHeight="1">
      <c r="B21" s="382"/>
      <c r="D21" s="23"/>
      <c r="E21" s="23"/>
      <c r="F21" s="974"/>
      <c r="G21" s="975"/>
      <c r="H21" s="112"/>
      <c r="I21" s="112"/>
      <c r="J21" s="23"/>
      <c r="K21" s="23"/>
      <c r="L21" s="23"/>
      <c r="N21" s="1006"/>
      <c r="T21" s="31"/>
    </row>
    <row r="22" spans="2:31" s="1" customFormat="1" ht="27">
      <c r="B22" s="216"/>
      <c r="C22" s="8"/>
      <c r="D22" s="97" t="s">
        <v>346</v>
      </c>
      <c r="E22" s="198" t="s">
        <v>323</v>
      </c>
      <c r="F22" s="198" t="s">
        <v>67</v>
      </c>
      <c r="G22" s="198" t="s">
        <v>161</v>
      </c>
      <c r="H22" s="222" t="s">
        <v>80</v>
      </c>
      <c r="I22" s="23"/>
      <c r="J22" s="1316" t="s">
        <v>365</v>
      </c>
      <c r="K22" s="1316"/>
      <c r="L22" s="23"/>
      <c r="M22" s="983" t="s">
        <v>738</v>
      </c>
      <c r="O22" s="192"/>
      <c r="T22" s="96"/>
    </row>
    <row r="23" spans="2:31" ht="17.100000000000001" customHeight="1">
      <c r="B23" s="633"/>
      <c r="D23" s="1339" t="s">
        <v>148</v>
      </c>
      <c r="E23" s="1340"/>
      <c r="F23" s="979"/>
      <c r="G23" s="977">
        <f t="shared" ref="G23:G33" si="5">IFERROR(F23/Units,0)</f>
        <v>0</v>
      </c>
      <c r="H23" s="338"/>
      <c r="I23" s="124"/>
      <c r="J23" s="1317"/>
      <c r="K23" s="1317"/>
      <c r="L23" s="23"/>
      <c r="M23" s="919"/>
      <c r="T23" s="31"/>
    </row>
    <row r="24" spans="2:31" ht="17.100000000000001" customHeight="1">
      <c r="B24" s="633"/>
      <c r="D24" s="1298" t="s">
        <v>415</v>
      </c>
      <c r="E24" s="1299"/>
      <c r="F24" s="979"/>
      <c r="G24" s="977">
        <f t="shared" si="5"/>
        <v>0</v>
      </c>
      <c r="H24" s="338"/>
      <c r="I24" s="357"/>
      <c r="J24" s="1300"/>
      <c r="K24" s="1301"/>
      <c r="M24" s="1144"/>
      <c r="T24" s="31"/>
    </row>
    <row r="25" spans="2:31" ht="17.100000000000001" customHeight="1">
      <c r="B25" s="140"/>
      <c r="D25" s="1341" t="s">
        <v>725</v>
      </c>
      <c r="E25" s="1342"/>
      <c r="F25" s="979"/>
      <c r="G25" s="977">
        <f t="shared" si="5"/>
        <v>0</v>
      </c>
      <c r="H25" s="338"/>
      <c r="I25" s="369" t="s">
        <v>452</v>
      </c>
      <c r="J25" s="1302"/>
      <c r="K25" s="1303"/>
      <c r="L25" s="23"/>
      <c r="M25" s="1144"/>
      <c r="T25" s="31"/>
    </row>
    <row r="26" spans="2:31" ht="17.100000000000001" customHeight="1">
      <c r="B26" s="633"/>
      <c r="D26" s="961" t="s">
        <v>512</v>
      </c>
      <c r="E26" s="306"/>
      <c r="F26" s="979"/>
      <c r="G26" s="977">
        <f t="shared" si="5"/>
        <v>0</v>
      </c>
      <c r="H26" s="338"/>
      <c r="I26" s="357"/>
      <c r="J26" s="1302"/>
      <c r="K26" s="1303"/>
      <c r="L26" s="23"/>
      <c r="M26" s="1144"/>
      <c r="T26" s="31"/>
    </row>
    <row r="27" spans="2:31" ht="17.100000000000001" customHeight="1">
      <c r="B27" s="633"/>
      <c r="D27" s="961" t="s">
        <v>741</v>
      </c>
      <c r="E27" s="306"/>
      <c r="F27" s="979"/>
      <c r="G27" s="977">
        <f t="shared" si="5"/>
        <v>0</v>
      </c>
      <c r="H27" s="338"/>
      <c r="I27" s="357"/>
      <c r="J27" s="1302"/>
      <c r="K27" s="1303"/>
      <c r="L27" s="23"/>
      <c r="M27" s="1144"/>
      <c r="T27" s="31"/>
    </row>
    <row r="28" spans="2:31" ht="17.100000000000001" customHeight="1">
      <c r="B28" s="633"/>
      <c r="D28" s="961" t="s">
        <v>454</v>
      </c>
      <c r="E28" s="306"/>
      <c r="F28" s="979"/>
      <c r="G28" s="977">
        <f t="shared" si="5"/>
        <v>0</v>
      </c>
      <c r="H28" s="338"/>
      <c r="I28" s="357"/>
      <c r="J28" s="1302"/>
      <c r="K28" s="1303"/>
      <c r="L28" s="23"/>
      <c r="M28" s="1144"/>
      <c r="T28" s="31"/>
    </row>
    <row r="29" spans="2:31" ht="17.100000000000001" customHeight="1">
      <c r="B29" s="633"/>
      <c r="D29" s="961" t="s">
        <v>454</v>
      </c>
      <c r="E29" s="306"/>
      <c r="F29" s="979"/>
      <c r="G29" s="977">
        <f t="shared" si="5"/>
        <v>0</v>
      </c>
      <c r="H29" s="338"/>
      <c r="I29" s="357"/>
      <c r="J29" s="1304"/>
      <c r="K29" s="1305"/>
      <c r="L29" s="23"/>
      <c r="M29" s="1144"/>
      <c r="T29" s="31"/>
    </row>
    <row r="30" spans="2:31" ht="17.100000000000001" customHeight="1">
      <c r="B30" s="633"/>
      <c r="D30" s="961" t="s">
        <v>454</v>
      </c>
      <c r="E30" s="306"/>
      <c r="F30" s="979"/>
      <c r="G30" s="977">
        <f t="shared" si="5"/>
        <v>0</v>
      </c>
      <c r="H30" s="338"/>
      <c r="I30" s="124"/>
      <c r="K30" s="23"/>
      <c r="L30" s="23"/>
      <c r="M30" s="1144"/>
      <c r="T30" s="31"/>
    </row>
    <row r="31" spans="2:31" ht="17.100000000000001" customHeight="1">
      <c r="B31" s="633"/>
      <c r="D31" s="1350" t="s">
        <v>93</v>
      </c>
      <c r="E31" s="1351"/>
      <c r="F31" s="979"/>
      <c r="G31" s="977">
        <f t="shared" si="5"/>
        <v>0</v>
      </c>
      <c r="H31" s="350"/>
      <c r="I31" s="125"/>
      <c r="J31" s="23"/>
      <c r="K31" s="23"/>
      <c r="L31" s="23"/>
      <c r="M31" s="1144"/>
      <c r="T31" s="31"/>
      <c r="AD31" s="1" t="s">
        <v>344</v>
      </c>
    </row>
    <row r="32" spans="2:31" ht="17.100000000000001" customHeight="1">
      <c r="B32" s="633"/>
      <c r="D32" s="1343" t="s">
        <v>94</v>
      </c>
      <c r="E32" s="1344"/>
      <c r="F32" s="979"/>
      <c r="G32" s="977">
        <f t="shared" si="5"/>
        <v>0</v>
      </c>
      <c r="H32" s="350"/>
      <c r="I32" s="124"/>
      <c r="J32" s="23"/>
      <c r="K32" s="1318" t="s">
        <v>448</v>
      </c>
      <c r="L32" s="23"/>
      <c r="M32" s="1144"/>
      <c r="T32" s="31"/>
      <c r="AD32" s="226">
        <f>IF(E26="yes",F26,0)</f>
        <v>0</v>
      </c>
      <c r="AE32" s="225"/>
    </row>
    <row r="33" spans="1:31" ht="17.100000000000001" customHeight="1">
      <c r="B33" s="140"/>
      <c r="D33" s="1360" t="s">
        <v>419</v>
      </c>
      <c r="E33" s="1361"/>
      <c r="F33" s="979"/>
      <c r="G33" s="980">
        <f t="shared" si="5"/>
        <v>0</v>
      </c>
      <c r="H33" s="351" t="s">
        <v>307</v>
      </c>
      <c r="I33" s="339" t="s">
        <v>366</v>
      </c>
      <c r="J33" s="199"/>
      <c r="K33" s="1318"/>
      <c r="L33" s="23"/>
      <c r="M33" s="1144"/>
      <c r="T33" s="31"/>
      <c r="AD33" s="227">
        <f>IF(E27="yes",F27,0)</f>
        <v>0</v>
      </c>
    </row>
    <row r="34" spans="1:31" ht="17.100000000000001" customHeight="1">
      <c r="C34"/>
      <c r="D34" s="1338" t="s">
        <v>426</v>
      </c>
      <c r="E34" s="1338"/>
      <c r="F34" s="1152">
        <f>SUM(F23:F33)</f>
        <v>0</v>
      </c>
      <c r="G34" s="978">
        <f>SUM(G23:G33)</f>
        <v>0</v>
      </c>
      <c r="H34" s="112"/>
      <c r="I34" s="112"/>
      <c r="J34" s="23"/>
      <c r="K34" s="23"/>
      <c r="L34" s="23"/>
      <c r="T34" s="31"/>
      <c r="AD34" s="227">
        <f>IF(E28="yes",F28,0)</f>
        <v>0</v>
      </c>
    </row>
    <row r="35" spans="1:31" ht="15.6">
      <c r="C35"/>
      <c r="D35" s="981" t="s">
        <v>427</v>
      </c>
      <c r="E35" s="981"/>
      <c r="F35" s="968">
        <f>F20+F34</f>
        <v>0</v>
      </c>
      <c r="G35" s="969" t="str">
        <f>IFERROR(F35/Units,"-")</f>
        <v>-</v>
      </c>
      <c r="H35" s="7"/>
      <c r="I35" s="7"/>
      <c r="T35" s="31"/>
      <c r="AD35" s="227">
        <f>IF(E29="yes",F29,0)</f>
        <v>0</v>
      </c>
    </row>
    <row r="36" spans="1:31" ht="15.6">
      <c r="C36"/>
      <c r="D36" s="1153" t="s">
        <v>192</v>
      </c>
      <c r="E36" s="1153"/>
      <c r="F36" s="1154">
        <f>TDC</f>
        <v>0</v>
      </c>
      <c r="G36" s="1155" t="str">
        <f>IFERROR(TDC/Units,"-")</f>
        <v>-</v>
      </c>
      <c r="H36" s="352"/>
      <c r="I36" s="1345"/>
      <c r="J36" s="1345"/>
      <c r="T36" s="31"/>
      <c r="AD36" s="228">
        <f>IF(E30="yes",F30,0)</f>
        <v>0</v>
      </c>
      <c r="AE36" s="12"/>
    </row>
    <row r="37" spans="1:31" ht="15.6">
      <c r="C37"/>
      <c r="D37" s="1358" t="s">
        <v>460</v>
      </c>
      <c r="E37" s="1358"/>
      <c r="F37" s="970">
        <f>F35-E159</f>
        <v>0</v>
      </c>
      <c r="G37" s="971" t="str">
        <f>IFERROR(F37/Units,"-")</f>
        <v>-</v>
      </c>
      <c r="I37" s="1346"/>
      <c r="J37" s="1346"/>
      <c r="T37" s="31"/>
      <c r="AD37" s="186">
        <f>SUM(AD32:AD36)</f>
        <v>0</v>
      </c>
    </row>
    <row r="38" spans="1:31" ht="28.2" customHeight="1">
      <c r="C38"/>
      <c r="D38" s="17"/>
      <c r="E38" s="1211" t="s">
        <v>317</v>
      </c>
      <c r="F38" s="27"/>
      <c r="S38" s="31"/>
    </row>
    <row r="39" spans="1:31" s="192" customFormat="1" ht="30">
      <c r="D39" s="266" t="s">
        <v>461</v>
      </c>
      <c r="E39" s="1337"/>
      <c r="F39" s="340" t="s">
        <v>327</v>
      </c>
      <c r="G39" s="1347" t="s">
        <v>316</v>
      </c>
      <c r="H39" s="1347"/>
      <c r="I39" s="1347"/>
      <c r="S39" s="193"/>
    </row>
    <row r="40" spans="1:31" s="219" customFormat="1" ht="15.75" customHeight="1">
      <c r="D40" s="957" t="s">
        <v>470</v>
      </c>
      <c r="E40" s="965"/>
      <c r="F40" s="972">
        <f t="shared" ref="F40:F48" si="6">IFERROR(E40/TDC,0)</f>
        <v>0</v>
      </c>
      <c r="G40" s="1306"/>
      <c r="H40" s="1307"/>
      <c r="I40" s="1308"/>
      <c r="J40" s="220"/>
      <c r="M40" s="298"/>
      <c r="N40" s="298"/>
      <c r="O40" s="298"/>
    </row>
    <row r="41" spans="1:31" s="219" customFormat="1" ht="15.75" customHeight="1">
      <c r="D41" s="958" t="s">
        <v>343</v>
      </c>
      <c r="E41" s="966"/>
      <c r="F41" s="972">
        <f t="shared" si="6"/>
        <v>0</v>
      </c>
      <c r="G41" s="1306"/>
      <c r="H41" s="1307"/>
      <c r="I41" s="1308"/>
      <c r="J41" s="220"/>
      <c r="M41" s="298"/>
      <c r="N41" s="298"/>
      <c r="O41" s="298"/>
    </row>
    <row r="42" spans="1:31" s="219" customFormat="1" ht="15.75" customHeight="1">
      <c r="D42" s="958" t="s">
        <v>148</v>
      </c>
      <c r="E42" s="965"/>
      <c r="F42" s="972">
        <f t="shared" si="6"/>
        <v>0</v>
      </c>
      <c r="G42" s="1306"/>
      <c r="H42" s="1307"/>
      <c r="I42" s="1308"/>
      <c r="J42" s="220"/>
      <c r="K42" s="221"/>
      <c r="M42" s="298"/>
      <c r="N42" s="298"/>
      <c r="O42" s="298"/>
    </row>
    <row r="43" spans="1:31" s="219" customFormat="1" ht="15.75" customHeight="1">
      <c r="A43" s="1348"/>
      <c r="B43" s="1348"/>
      <c r="C43" s="1348"/>
      <c r="D43" s="959" t="s">
        <v>469</v>
      </c>
      <c r="E43" s="965"/>
      <c r="F43" s="972">
        <f t="shared" si="6"/>
        <v>0</v>
      </c>
      <c r="G43" s="1306"/>
      <c r="H43" s="1307"/>
      <c r="I43" s="1308"/>
      <c r="J43" s="220"/>
      <c r="K43" s="221"/>
      <c r="M43" s="298"/>
      <c r="N43" s="298"/>
      <c r="O43" s="298"/>
    </row>
    <row r="44" spans="1:31" s="499" customFormat="1" ht="15.75" customHeight="1">
      <c r="D44" s="960" t="s">
        <v>798</v>
      </c>
      <c r="E44" s="1156">
        <f>F12</f>
        <v>0</v>
      </c>
      <c r="F44" s="973">
        <f t="shared" si="6"/>
        <v>0</v>
      </c>
      <c r="G44" s="1355"/>
      <c r="H44" s="1356"/>
      <c r="I44" s="1357"/>
      <c r="J44" s="928"/>
    </row>
    <row r="45" spans="1:31" s="381" customFormat="1" ht="15.75" customHeight="1">
      <c r="D45" s="960" t="s">
        <v>713</v>
      </c>
      <c r="E45" s="967"/>
      <c r="F45" s="973">
        <f t="shared" si="6"/>
        <v>0</v>
      </c>
      <c r="G45" s="962"/>
      <c r="H45" s="963"/>
      <c r="I45" s="964"/>
      <c r="J45" s="929"/>
      <c r="K45" s="499"/>
    </row>
    <row r="46" spans="1:31" s="219" customFormat="1" ht="15.75" customHeight="1">
      <c r="D46" s="122" t="s">
        <v>139</v>
      </c>
      <c r="E46" s="966"/>
      <c r="F46" s="972">
        <f t="shared" si="6"/>
        <v>0</v>
      </c>
      <c r="G46" s="1306"/>
      <c r="H46" s="1307"/>
      <c r="I46" s="1308"/>
      <c r="J46" s="220"/>
      <c r="K46" s="221"/>
      <c r="M46" s="298"/>
      <c r="N46" s="298"/>
      <c r="O46" s="298"/>
    </row>
    <row r="47" spans="1:31" s="219" customFormat="1" ht="15.75" customHeight="1">
      <c r="D47" s="123" t="s">
        <v>191</v>
      </c>
      <c r="E47" s="965"/>
      <c r="F47" s="972">
        <f t="shared" si="6"/>
        <v>0</v>
      </c>
      <c r="G47" s="1306"/>
      <c r="H47" s="1307"/>
      <c r="I47" s="1308"/>
      <c r="J47" s="220"/>
      <c r="M47" s="298"/>
      <c r="N47" s="298"/>
      <c r="O47" s="298"/>
    </row>
    <row r="48" spans="1:31" s="219" customFormat="1" ht="15.75" customHeight="1">
      <c r="A48" s="1348"/>
      <c r="B48" s="1348"/>
      <c r="C48" s="1348"/>
      <c r="D48" s="181" t="s">
        <v>468</v>
      </c>
      <c r="E48" s="965"/>
      <c r="F48" s="972">
        <f t="shared" si="6"/>
        <v>0</v>
      </c>
      <c r="G48" s="1313" t="s">
        <v>618</v>
      </c>
      <c r="H48" s="1314"/>
      <c r="I48" s="1315"/>
      <c r="J48" s="220"/>
      <c r="K48" s="221"/>
      <c r="M48" s="298"/>
      <c r="N48" s="298"/>
      <c r="O48" s="298"/>
    </row>
    <row r="49" spans="2:19" s="219" customFormat="1" ht="13.8">
      <c r="D49" s="1170" t="s">
        <v>428</v>
      </c>
      <c r="E49" s="1171">
        <f>SUM(E40:E48)</f>
        <v>0</v>
      </c>
      <c r="F49" s="1172">
        <f>SUM(F40:F48)</f>
        <v>0</v>
      </c>
      <c r="G49" s="223"/>
      <c r="H49" s="223"/>
      <c r="I49" s="224"/>
      <c r="J49" s="220"/>
      <c r="M49" s="298"/>
      <c r="N49" s="298"/>
      <c r="O49" s="298"/>
    </row>
    <row r="50" spans="2:19" s="282" customFormat="1" ht="15.6">
      <c r="D50" s="1167" t="s">
        <v>380</v>
      </c>
      <c r="E50" s="1168">
        <f>E49-TDC</f>
        <v>0</v>
      </c>
      <c r="F50" s="1169">
        <f>IFERROR(E50/TDC,0)</f>
        <v>0</v>
      </c>
      <c r="G50" s="1165" t="s">
        <v>800</v>
      </c>
      <c r="H50" s="1166"/>
      <c r="I50" s="284"/>
      <c r="M50" s="299"/>
      <c r="N50" s="299"/>
      <c r="O50" s="299"/>
    </row>
    <row r="51" spans="2:19" s="282" customFormat="1" ht="13.8">
      <c r="D51" s="1157"/>
      <c r="E51" s="1158"/>
      <c r="F51" s="1159"/>
      <c r="G51" s="330"/>
      <c r="H51" s="283"/>
      <c r="I51" s="284"/>
      <c r="M51" s="299"/>
      <c r="N51" s="299"/>
      <c r="O51" s="299"/>
    </row>
    <row r="52" spans="2:19" s="282" customFormat="1" ht="22.8">
      <c r="B52" s="1160" t="s">
        <v>30</v>
      </c>
      <c r="D52" s="1157"/>
      <c r="E52" s="1158"/>
      <c r="F52" s="1159"/>
      <c r="G52" s="330"/>
      <c r="H52" s="283"/>
      <c r="I52" s="284"/>
      <c r="M52" s="299"/>
      <c r="N52" s="299"/>
      <c r="O52" s="299"/>
    </row>
    <row r="53" spans="2:19" s="282" customFormat="1" ht="15.6">
      <c r="C53" s="1164" t="s">
        <v>799</v>
      </c>
      <c r="D53" s="1157"/>
      <c r="E53" s="1158"/>
      <c r="F53" s="1159"/>
      <c r="G53" s="330"/>
      <c r="H53" s="283"/>
      <c r="I53" s="284"/>
      <c r="M53" s="299"/>
      <c r="N53" s="299"/>
      <c r="O53" s="299"/>
    </row>
    <row r="54" spans="2:19" s="38" customFormat="1" ht="15">
      <c r="D54" s="65"/>
      <c r="E54" s="348"/>
      <c r="F54" s="348"/>
      <c r="H54" s="65"/>
      <c r="M54" s="297"/>
      <c r="N54" s="297"/>
      <c r="O54" s="297"/>
      <c r="S54" s="45"/>
    </row>
    <row r="55" spans="2:19" ht="17.100000000000001" customHeight="1">
      <c r="B55" s="225"/>
      <c r="C55" s="229"/>
      <c r="D55" s="225"/>
      <c r="E55" s="1321" t="s">
        <v>150</v>
      </c>
      <c r="F55" s="1321" t="s">
        <v>249</v>
      </c>
      <c r="G55" s="1324" t="s">
        <v>207</v>
      </c>
      <c r="H55" s="1324"/>
      <c r="I55" s="1325" t="s">
        <v>319</v>
      </c>
      <c r="J55" s="1329"/>
      <c r="S55" s="31"/>
    </row>
    <row r="56" spans="2:19" ht="27.75" customHeight="1">
      <c r="C56" s="1160"/>
      <c r="D56" s="1161"/>
      <c r="E56" s="1321"/>
      <c r="F56" s="1328"/>
      <c r="G56" s="1322" t="s">
        <v>711</v>
      </c>
      <c r="H56" s="1330" t="s">
        <v>712</v>
      </c>
      <c r="I56" s="1326"/>
      <c r="J56" s="1329"/>
      <c r="S56" s="31"/>
    </row>
    <row r="57" spans="2:19" ht="15" customHeight="1">
      <c r="B57" s="1162"/>
      <c r="C57" s="1162"/>
      <c r="D57" s="1163"/>
      <c r="E57" s="1321"/>
      <c r="F57" s="1328"/>
      <c r="G57" s="1323"/>
      <c r="H57" s="1331"/>
      <c r="I57" s="1327"/>
      <c r="J57" s="1329"/>
      <c r="S57" s="31"/>
    </row>
    <row r="58" spans="2:19" ht="9" customHeight="1">
      <c r="D58" s="4"/>
      <c r="S58" s="31"/>
    </row>
    <row r="59" spans="2:19" ht="17.100000000000001" customHeight="1">
      <c r="D59" s="68" t="s">
        <v>136</v>
      </c>
      <c r="E59" s="352"/>
      <c r="F59" s="352"/>
      <c r="G59" s="24"/>
      <c r="H59" s="12"/>
      <c r="I59" s="12"/>
      <c r="S59" s="31"/>
    </row>
    <row r="60" spans="2:19" s="23" customFormat="1" ht="17.100000000000001" customHeight="1">
      <c r="B60" s="126"/>
      <c r="C60" s="71"/>
      <c r="D60" s="129" t="s">
        <v>23</v>
      </c>
      <c r="E60" s="331">
        <f>SUM(G60:I60)</f>
        <v>0</v>
      </c>
      <c r="F60" s="117">
        <f>IFERROR(E60/Units,0)</f>
        <v>0</v>
      </c>
      <c r="G60" s="252"/>
      <c r="H60" s="251"/>
      <c r="I60" s="251"/>
      <c r="M60" s="158"/>
      <c r="N60" s="158"/>
      <c r="O60" s="158"/>
      <c r="S60" s="115"/>
    </row>
    <row r="61" spans="2:19" s="23" customFormat="1" ht="19.5" customHeight="1">
      <c r="B61" s="126"/>
      <c r="C61" s="71"/>
      <c r="D61" s="23" t="s">
        <v>95</v>
      </c>
      <c r="E61" s="117">
        <f>SUM(G61:I61)</f>
        <v>0</v>
      </c>
      <c r="F61" s="117">
        <f>IFERROR(E61/Units,0)</f>
        <v>0</v>
      </c>
      <c r="G61" s="252"/>
      <c r="H61" s="252"/>
      <c r="I61" s="251"/>
      <c r="M61" s="158"/>
      <c r="N61" s="158"/>
      <c r="O61" s="158"/>
      <c r="S61" s="115"/>
    </row>
    <row r="62" spans="2:19" ht="17.25" customHeight="1">
      <c r="B62" s="21"/>
      <c r="D62" s="15" t="s">
        <v>137</v>
      </c>
      <c r="E62" s="116">
        <f>SUM(E60:E61)</f>
        <v>0</v>
      </c>
      <c r="F62" s="116"/>
      <c r="G62" s="253">
        <f>SUM(G60:G61)</f>
        <v>0</v>
      </c>
      <c r="H62" s="253">
        <f>SUM(H60:H61)</f>
        <v>0</v>
      </c>
      <c r="I62" s="253">
        <f>SUM(I60:I61)</f>
        <v>0</v>
      </c>
      <c r="S62" s="31"/>
    </row>
    <row r="63" spans="2:19" ht="17.100000000000001" customHeight="1">
      <c r="B63" s="21"/>
      <c r="E63" s="7"/>
      <c r="F63" s="7"/>
      <c r="G63" s="10"/>
      <c r="H63" s="10"/>
      <c r="I63" s="10"/>
      <c r="S63" s="31"/>
    </row>
    <row r="64" spans="2:19" ht="17.100000000000001" customHeight="1">
      <c r="B64" s="21"/>
      <c r="D64" s="68" t="s">
        <v>260</v>
      </c>
      <c r="E64" s="7"/>
      <c r="F64" s="7"/>
      <c r="G64" s="254"/>
      <c r="H64" s="10"/>
      <c r="I64" s="10"/>
      <c r="S64" s="31"/>
    </row>
    <row r="65" spans="2:19" s="23" customFormat="1" ht="17.100000000000001" customHeight="1">
      <c r="D65" s="362" t="s">
        <v>96</v>
      </c>
      <c r="E65" s="359"/>
      <c r="F65" s="359"/>
      <c r="G65" s="360"/>
      <c r="H65" s="360"/>
      <c r="I65" s="360"/>
      <c r="M65" s="158"/>
      <c r="N65" s="158"/>
      <c r="O65" s="158"/>
      <c r="S65" s="115"/>
    </row>
    <row r="66" spans="2:19" s="23" customFormat="1" ht="17.100000000000001" customHeight="1">
      <c r="B66" s="127"/>
      <c r="C66" s="71"/>
      <c r="D66" s="956" t="s">
        <v>98</v>
      </c>
      <c r="E66" s="117">
        <f>SUM(G66:I66)</f>
        <v>0</v>
      </c>
      <c r="F66" s="117">
        <f>IFERROR(E66/Units,0)</f>
        <v>0</v>
      </c>
      <c r="G66" s="251"/>
      <c r="H66" s="251"/>
      <c r="I66" s="251"/>
      <c r="M66" s="158"/>
      <c r="N66" s="158"/>
      <c r="O66" s="158"/>
      <c r="S66" s="115"/>
    </row>
    <row r="67" spans="2:19" s="23" customFormat="1" ht="17.100000000000001" customHeight="1">
      <c r="B67" s="127"/>
      <c r="C67" s="71"/>
      <c r="D67" s="952" t="s">
        <v>97</v>
      </c>
      <c r="E67" s="117">
        <f>SUM(G67:I67)</f>
        <v>0</v>
      </c>
      <c r="F67" s="117">
        <f>IFERROR(E67/Units,0)</f>
        <v>0</v>
      </c>
      <c r="G67" s="251"/>
      <c r="H67" s="251"/>
      <c r="I67" s="251"/>
      <c r="M67" s="158"/>
      <c r="N67" s="158"/>
      <c r="O67" s="158"/>
      <c r="S67" s="115"/>
    </row>
    <row r="68" spans="2:19" s="23" customFormat="1" ht="17.100000000000001" customHeight="1">
      <c r="B68" s="127"/>
      <c r="C68" s="71"/>
      <c r="D68" s="952" t="s">
        <v>420</v>
      </c>
      <c r="E68" s="117">
        <f>SUM(G68:I68)</f>
        <v>0</v>
      </c>
      <c r="F68" s="117">
        <f>IFERROR(E68/Units,0)</f>
        <v>0</v>
      </c>
      <c r="G68" s="251"/>
      <c r="H68" s="251"/>
      <c r="I68" s="251"/>
      <c r="M68" s="158"/>
      <c r="N68" s="158"/>
      <c r="O68" s="158"/>
      <c r="S68" s="115"/>
    </row>
    <row r="69" spans="2:19" s="23" customFormat="1" ht="17.100000000000001" customHeight="1">
      <c r="B69" s="127"/>
      <c r="C69" s="71"/>
      <c r="D69" s="953" t="s">
        <v>422</v>
      </c>
      <c r="E69" s="117">
        <f>SUM(G69:I69)</f>
        <v>0</v>
      </c>
      <c r="F69" s="117">
        <f>IFERROR(E69/Units,0)</f>
        <v>0</v>
      </c>
      <c r="G69" s="251"/>
      <c r="H69" s="251"/>
      <c r="I69" s="256"/>
      <c r="M69" s="158"/>
      <c r="N69" s="158"/>
      <c r="O69" s="158"/>
      <c r="S69" s="115"/>
    </row>
    <row r="70" spans="2:19" s="23" customFormat="1" ht="17.100000000000001" customHeight="1">
      <c r="D70" s="358" t="s">
        <v>99</v>
      </c>
      <c r="E70" s="359"/>
      <c r="F70" s="359"/>
      <c r="G70" s="360"/>
      <c r="H70" s="360"/>
      <c r="I70" s="360"/>
      <c r="M70" s="158"/>
      <c r="N70" s="158"/>
      <c r="O70" s="158"/>
      <c r="S70" s="115"/>
    </row>
    <row r="71" spans="2:19" s="23" customFormat="1" ht="17.100000000000001" customHeight="1">
      <c r="C71" s="71"/>
      <c r="D71" s="952" t="s">
        <v>69</v>
      </c>
      <c r="E71" s="117">
        <f t="shared" ref="E71:E77" si="7">SUM(G71:I71)</f>
        <v>0</v>
      </c>
      <c r="F71" s="117">
        <f t="shared" ref="F71:F77" si="8">IFERROR(E71/Units,0)</f>
        <v>0</v>
      </c>
      <c r="G71" s="251"/>
      <c r="H71" s="251"/>
      <c r="I71" s="251"/>
      <c r="M71" s="158"/>
      <c r="N71" s="158"/>
      <c r="O71" s="158"/>
      <c r="S71" s="115"/>
    </row>
    <row r="72" spans="2:19" s="23" customFormat="1" ht="17.100000000000001" customHeight="1">
      <c r="B72" s="128"/>
      <c r="C72" s="71"/>
      <c r="D72" s="952" t="s">
        <v>68</v>
      </c>
      <c r="E72" s="117">
        <f t="shared" si="7"/>
        <v>0</v>
      </c>
      <c r="F72" s="117">
        <f t="shared" si="8"/>
        <v>0</v>
      </c>
      <c r="G72" s="251"/>
      <c r="H72" s="251"/>
      <c r="I72" s="251"/>
      <c r="M72" s="158"/>
      <c r="N72" s="158"/>
      <c r="O72" s="158"/>
      <c r="S72" s="115"/>
    </row>
    <row r="73" spans="2:19" s="23" customFormat="1" ht="16.5" customHeight="1">
      <c r="C73" s="71"/>
      <c r="D73" s="952" t="s">
        <v>100</v>
      </c>
      <c r="E73" s="117">
        <f t="shared" si="7"/>
        <v>0</v>
      </c>
      <c r="F73" s="117">
        <f t="shared" si="8"/>
        <v>0</v>
      </c>
      <c r="G73" s="251"/>
      <c r="H73" s="251"/>
      <c r="I73" s="251"/>
      <c r="M73" s="158"/>
      <c r="N73" s="158"/>
      <c r="O73" s="158"/>
      <c r="S73" s="115"/>
    </row>
    <row r="74" spans="2:19" s="23" customFormat="1" ht="17.100000000000001" customHeight="1">
      <c r="C74" s="71"/>
      <c r="D74" s="952" t="s">
        <v>101</v>
      </c>
      <c r="E74" s="117">
        <f t="shared" si="7"/>
        <v>0</v>
      </c>
      <c r="F74" s="117">
        <f t="shared" si="8"/>
        <v>0</v>
      </c>
      <c r="G74" s="252"/>
      <c r="H74" s="252"/>
      <c r="I74" s="251"/>
      <c r="M74" s="158"/>
      <c r="N74" s="158"/>
      <c r="O74" s="158"/>
      <c r="S74" s="115"/>
    </row>
    <row r="75" spans="2:19" s="23" customFormat="1" ht="17.100000000000001" customHeight="1">
      <c r="C75" s="71"/>
      <c r="D75" s="952" t="s">
        <v>70</v>
      </c>
      <c r="E75" s="117">
        <f t="shared" si="7"/>
        <v>0</v>
      </c>
      <c r="F75" s="117">
        <f t="shared" si="8"/>
        <v>0</v>
      </c>
      <c r="G75" s="251"/>
      <c r="H75" s="251"/>
      <c r="I75" s="251"/>
      <c r="M75" s="158"/>
      <c r="N75" s="158"/>
      <c r="O75" s="158"/>
      <c r="S75" s="115"/>
    </row>
    <row r="76" spans="2:19" s="23" customFormat="1" ht="17.100000000000001" customHeight="1">
      <c r="C76" s="71"/>
      <c r="D76" s="952" t="s">
        <v>71</v>
      </c>
      <c r="E76" s="117">
        <f t="shared" si="7"/>
        <v>0</v>
      </c>
      <c r="F76" s="117">
        <f t="shared" si="8"/>
        <v>0</v>
      </c>
      <c r="G76" s="251"/>
      <c r="H76" s="251"/>
      <c r="I76" s="251"/>
      <c r="M76" s="158"/>
      <c r="N76" s="158"/>
      <c r="O76" s="158"/>
      <c r="S76" s="115"/>
    </row>
    <row r="77" spans="2:19" s="23" customFormat="1" ht="17.100000000000001" customHeight="1">
      <c r="C77" s="71"/>
      <c r="D77" s="952" t="s">
        <v>72</v>
      </c>
      <c r="E77" s="117">
        <f t="shared" si="7"/>
        <v>0</v>
      </c>
      <c r="F77" s="117">
        <f t="shared" si="8"/>
        <v>0</v>
      </c>
      <c r="G77" s="251"/>
      <c r="H77" s="251"/>
      <c r="I77" s="251"/>
      <c r="M77" s="158"/>
      <c r="N77" s="158"/>
      <c r="O77" s="158"/>
      <c r="S77" s="115"/>
    </row>
    <row r="78" spans="2:19" s="23" customFormat="1" ht="17.100000000000001" customHeight="1">
      <c r="D78" s="358" t="s">
        <v>102</v>
      </c>
      <c r="E78" s="359"/>
      <c r="F78" s="359"/>
      <c r="G78" s="360"/>
      <c r="H78" s="360"/>
      <c r="I78" s="360"/>
      <c r="M78" s="158"/>
      <c r="N78" s="158"/>
      <c r="O78" s="158"/>
      <c r="S78" s="115"/>
    </row>
    <row r="79" spans="2:19" s="23" customFormat="1" ht="17.100000000000001" customHeight="1">
      <c r="C79" s="71"/>
      <c r="D79" s="952" t="s">
        <v>103</v>
      </c>
      <c r="E79" s="117">
        <f t="shared" ref="E79:E86" si="9">SUM(G79:I79)</f>
        <v>0</v>
      </c>
      <c r="F79" s="117">
        <f t="shared" ref="F79:F86" si="10">IFERROR(E79/Units,0)</f>
        <v>0</v>
      </c>
      <c r="G79" s="251"/>
      <c r="H79" s="251"/>
      <c r="I79" s="251"/>
      <c r="M79" s="158"/>
      <c r="N79" s="158"/>
      <c r="O79" s="158"/>
      <c r="S79" s="115"/>
    </row>
    <row r="80" spans="2:19" s="23" customFormat="1" ht="17.100000000000001" customHeight="1">
      <c r="C80" s="71"/>
      <c r="D80" s="952" t="s">
        <v>10</v>
      </c>
      <c r="E80" s="117">
        <f t="shared" si="9"/>
        <v>0</v>
      </c>
      <c r="F80" s="117">
        <f t="shared" si="10"/>
        <v>0</v>
      </c>
      <c r="G80" s="251"/>
      <c r="H80" s="251"/>
      <c r="I80" s="251"/>
      <c r="J80" s="125" t="str">
        <f>IF(ISERROR($E$80/$E$91),"N/A",$E$80/$E$91)</f>
        <v>N/A</v>
      </c>
      <c r="K80" s="23" t="s">
        <v>328</v>
      </c>
      <c r="M80" s="158"/>
      <c r="N80" s="158"/>
      <c r="O80" s="158"/>
      <c r="S80" s="115"/>
    </row>
    <row r="81" spans="3:19" s="23" customFormat="1" ht="17.100000000000001" customHeight="1">
      <c r="C81" s="71"/>
      <c r="D81" s="952" t="s">
        <v>9</v>
      </c>
      <c r="E81" s="117">
        <f t="shared" si="9"/>
        <v>0</v>
      </c>
      <c r="F81" s="117">
        <f t="shared" si="10"/>
        <v>0</v>
      </c>
      <c r="G81" s="251"/>
      <c r="H81" s="251"/>
      <c r="I81" s="251"/>
      <c r="J81" s="125" t="str">
        <f>IF(ISERROR($E$81/$E$91),"N/A",$E$81/$E$91)</f>
        <v>N/A</v>
      </c>
      <c r="K81" s="23" t="s">
        <v>328</v>
      </c>
      <c r="M81" s="158"/>
      <c r="N81" s="158"/>
      <c r="O81" s="158"/>
      <c r="S81" s="115"/>
    </row>
    <row r="82" spans="3:19" s="23" customFormat="1" ht="17.100000000000001" customHeight="1">
      <c r="C82" s="71"/>
      <c r="D82" s="952" t="s">
        <v>11</v>
      </c>
      <c r="E82" s="117">
        <f t="shared" si="9"/>
        <v>0</v>
      </c>
      <c r="F82" s="117">
        <f t="shared" si="10"/>
        <v>0</v>
      </c>
      <c r="G82" s="251"/>
      <c r="H82" s="251"/>
      <c r="I82" s="251"/>
      <c r="J82" s="125" t="str">
        <f>IF(ISERROR($E$82/$E$91),"N/A",$E$82/$E91)</f>
        <v>N/A</v>
      </c>
      <c r="K82" s="23" t="s">
        <v>328</v>
      </c>
      <c r="M82" s="158"/>
      <c r="N82" s="158"/>
      <c r="O82" s="158"/>
      <c r="S82" s="115"/>
    </row>
    <row r="83" spans="3:19" s="23" customFormat="1" ht="17.100000000000001" customHeight="1">
      <c r="C83" s="71"/>
      <c r="D83" s="952" t="s">
        <v>25</v>
      </c>
      <c r="E83" s="117">
        <f t="shared" si="9"/>
        <v>0</v>
      </c>
      <c r="F83" s="117">
        <f t="shared" si="10"/>
        <v>0</v>
      </c>
      <c r="G83" s="251"/>
      <c r="H83" s="251"/>
      <c r="I83" s="251"/>
      <c r="M83" s="158"/>
      <c r="N83" s="158"/>
      <c r="O83" s="158"/>
      <c r="S83" s="115"/>
    </row>
    <row r="84" spans="3:19" s="23" customFormat="1" ht="17.100000000000001" customHeight="1">
      <c r="C84" s="71"/>
      <c r="D84" s="952" t="s">
        <v>24</v>
      </c>
      <c r="E84" s="117">
        <f t="shared" si="9"/>
        <v>0</v>
      </c>
      <c r="F84" s="117">
        <f t="shared" si="10"/>
        <v>0</v>
      </c>
      <c r="G84" s="251"/>
      <c r="H84" s="251"/>
      <c r="I84" s="251"/>
      <c r="M84" s="158"/>
      <c r="N84" s="158"/>
      <c r="O84" s="158"/>
      <c r="S84" s="115"/>
    </row>
    <row r="85" spans="3:19" s="23" customFormat="1" ht="17.100000000000001" customHeight="1">
      <c r="C85" s="71"/>
      <c r="D85" s="952" t="s">
        <v>104</v>
      </c>
      <c r="E85" s="117">
        <f t="shared" si="9"/>
        <v>0</v>
      </c>
      <c r="F85" s="117">
        <f t="shared" si="10"/>
        <v>0</v>
      </c>
      <c r="G85" s="251"/>
      <c r="H85" s="251"/>
      <c r="I85" s="251"/>
      <c r="M85" s="158"/>
      <c r="N85" s="158"/>
      <c r="O85" s="158"/>
      <c r="S85" s="115"/>
    </row>
    <row r="86" spans="3:19" s="23" customFormat="1" ht="17.100000000000001" customHeight="1">
      <c r="C86" s="71"/>
      <c r="D86" s="952" t="s">
        <v>418</v>
      </c>
      <c r="E86" s="117">
        <f t="shared" si="9"/>
        <v>0</v>
      </c>
      <c r="F86" s="117">
        <f t="shared" si="10"/>
        <v>0</v>
      </c>
      <c r="G86" s="251"/>
      <c r="H86" s="251"/>
      <c r="I86" s="251"/>
      <c r="M86" s="158"/>
      <c r="N86" s="158"/>
      <c r="O86" s="158"/>
      <c r="S86" s="115"/>
    </row>
    <row r="87" spans="3:19" s="23" customFormat="1" ht="17.100000000000001" customHeight="1">
      <c r="D87" s="358" t="s">
        <v>105</v>
      </c>
      <c r="E87" s="359"/>
      <c r="F87" s="359"/>
      <c r="G87" s="360"/>
      <c r="H87" s="360"/>
      <c r="I87" s="360"/>
      <c r="M87" s="158"/>
      <c r="N87" s="158"/>
      <c r="O87" s="158"/>
      <c r="S87" s="115"/>
    </row>
    <row r="88" spans="3:19" s="23" customFormat="1" ht="17.100000000000001" customHeight="1">
      <c r="D88" s="130"/>
      <c r="E88" s="117">
        <f>SUM(G88:I88)</f>
        <v>0</v>
      </c>
      <c r="F88" s="117">
        <f>IFERROR(E88/Units,0)</f>
        <v>0</v>
      </c>
      <c r="G88" s="251"/>
      <c r="H88" s="251"/>
      <c r="I88" s="251"/>
      <c r="M88" s="158"/>
      <c r="N88" s="158"/>
      <c r="O88" s="158"/>
      <c r="S88" s="115"/>
    </row>
    <row r="89" spans="3:19" s="23" customFormat="1" ht="17.100000000000001" customHeight="1">
      <c r="D89" s="130" t="s">
        <v>106</v>
      </c>
      <c r="E89" s="117">
        <f>SUM(G89:I89)</f>
        <v>0</v>
      </c>
      <c r="F89" s="117">
        <f>IFERROR(E89/Units,0)</f>
        <v>0</v>
      </c>
      <c r="G89" s="251"/>
      <c r="H89" s="251"/>
      <c r="I89" s="251"/>
      <c r="M89" s="158"/>
      <c r="N89" s="158"/>
      <c r="O89" s="158"/>
      <c r="S89" s="115"/>
    </row>
    <row r="90" spans="3:19" s="23" customFormat="1" ht="17.100000000000001" customHeight="1">
      <c r="D90" s="130" t="s">
        <v>106</v>
      </c>
      <c r="E90" s="117">
        <f>SUM(G90:I90)</f>
        <v>0</v>
      </c>
      <c r="F90" s="117">
        <f>IFERROR(E90/Units,0)</f>
        <v>0</v>
      </c>
      <c r="G90" s="251"/>
      <c r="H90" s="251"/>
      <c r="I90" s="251"/>
      <c r="M90" s="158"/>
      <c r="N90" s="158"/>
      <c r="O90" s="158"/>
      <c r="S90" s="115"/>
    </row>
    <row r="91" spans="3:19" s="1" customFormat="1" ht="17.100000000000001" customHeight="1">
      <c r="D91" s="15" t="s">
        <v>259</v>
      </c>
      <c r="E91" s="116">
        <f>SUM(E66:E90)</f>
        <v>0</v>
      </c>
      <c r="F91" s="116"/>
      <c r="G91" s="253">
        <f>SUM(G66:G90)</f>
        <v>0</v>
      </c>
      <c r="H91" s="253">
        <f>SUM(H66:H90)</f>
        <v>0</v>
      </c>
      <c r="I91" s="253">
        <f>SUM(I66:I90)</f>
        <v>0</v>
      </c>
      <c r="M91" s="192"/>
      <c r="N91" s="192"/>
      <c r="O91" s="192"/>
      <c r="S91" s="96"/>
    </row>
    <row r="92" spans="3:19" ht="9" customHeight="1">
      <c r="C92"/>
      <c r="D92" s="2"/>
      <c r="E92" s="7"/>
      <c r="F92" s="7"/>
      <c r="G92" s="10"/>
      <c r="H92" s="10"/>
      <c r="I92" s="10"/>
      <c r="S92" s="31"/>
    </row>
    <row r="93" spans="3:19" ht="17.100000000000001" customHeight="1">
      <c r="C93"/>
      <c r="D93" s="362" t="s">
        <v>107</v>
      </c>
      <c r="E93" s="363"/>
      <c r="F93" s="363"/>
      <c r="G93" s="364"/>
      <c r="H93" s="364"/>
      <c r="I93" s="364"/>
      <c r="S93" s="31"/>
    </row>
    <row r="94" spans="3:19" s="23" customFormat="1" ht="17.100000000000001" customHeight="1">
      <c r="D94" s="139" t="s">
        <v>16</v>
      </c>
      <c r="E94" s="117">
        <f>SUM(G94:I94)</f>
        <v>0</v>
      </c>
      <c r="F94" s="117">
        <f>IFERROR(E94/Units,0)</f>
        <v>0</v>
      </c>
      <c r="G94" s="251"/>
      <c r="H94" s="251"/>
      <c r="I94" s="251"/>
      <c r="J94" s="125" t="str">
        <f>IF(ISERROR($E$94/($E$91)),"N/A",$E$94/($E$91))</f>
        <v>N/A</v>
      </c>
      <c r="K94" s="23" t="s">
        <v>328</v>
      </c>
      <c r="M94" s="158"/>
      <c r="N94" s="158"/>
      <c r="O94" s="158"/>
      <c r="S94" s="115"/>
    </row>
    <row r="95" spans="3:19" ht="17.100000000000001" customHeight="1">
      <c r="C95"/>
      <c r="D95" s="18"/>
      <c r="E95" s="7"/>
      <c r="F95" s="7"/>
      <c r="G95" s="10"/>
      <c r="H95" s="10"/>
      <c r="I95" s="10"/>
      <c r="S95" s="31"/>
    </row>
    <row r="96" spans="3:19" ht="17.100000000000001" customHeight="1">
      <c r="C96"/>
      <c r="D96" s="69" t="s">
        <v>416</v>
      </c>
      <c r="E96" s="7"/>
      <c r="F96" s="7"/>
      <c r="G96" s="10"/>
      <c r="H96" s="10"/>
      <c r="I96" s="10"/>
      <c r="S96" s="31"/>
    </row>
    <row r="97" spans="4:19" s="23" customFormat="1" ht="17.100000000000001" customHeight="1">
      <c r="D97" s="358" t="s">
        <v>108</v>
      </c>
      <c r="E97" s="359"/>
      <c r="F97" s="359"/>
      <c r="G97" s="360"/>
      <c r="H97" s="360"/>
      <c r="I97" s="360"/>
      <c r="M97" s="158"/>
      <c r="N97" s="158"/>
      <c r="O97" s="158"/>
      <c r="S97" s="115"/>
    </row>
    <row r="98" spans="4:19" s="23" customFormat="1" ht="17.100000000000001" customHeight="1">
      <c r="D98" s="954" t="s">
        <v>21</v>
      </c>
      <c r="E98" s="117">
        <f t="shared" ref="E98:E108" si="11">SUM(G98:I98)</f>
        <v>0</v>
      </c>
      <c r="F98" s="117">
        <f t="shared" ref="F98:F109" si="12">IFERROR(E98/Units,0)</f>
        <v>0</v>
      </c>
      <c r="G98" s="256"/>
      <c r="H98" s="256"/>
      <c r="I98" s="251"/>
      <c r="M98" s="158"/>
      <c r="N98" s="158"/>
      <c r="O98" s="158"/>
      <c r="S98" s="115"/>
    </row>
    <row r="99" spans="4:19" s="23" customFormat="1" ht="17.100000000000001" customHeight="1">
      <c r="D99" s="954" t="s">
        <v>129</v>
      </c>
      <c r="E99" s="117">
        <f t="shared" si="11"/>
        <v>0</v>
      </c>
      <c r="F99" s="117">
        <f t="shared" si="12"/>
        <v>0</v>
      </c>
      <c r="G99" s="251"/>
      <c r="H99" s="251"/>
      <c r="I99" s="251"/>
      <c r="M99" s="158"/>
      <c r="N99" s="158"/>
      <c r="O99" s="158"/>
      <c r="S99" s="115"/>
    </row>
    <row r="100" spans="4:19" s="23" customFormat="1" ht="17.100000000000001" customHeight="1">
      <c r="D100" s="954" t="s">
        <v>29</v>
      </c>
      <c r="E100" s="117">
        <f t="shared" si="11"/>
        <v>0</v>
      </c>
      <c r="F100" s="117">
        <f t="shared" si="12"/>
        <v>0</v>
      </c>
      <c r="G100" s="251"/>
      <c r="H100" s="251"/>
      <c r="I100" s="251"/>
      <c r="M100" s="158"/>
      <c r="N100" s="158"/>
      <c r="O100" s="158"/>
      <c r="S100" s="115"/>
    </row>
    <row r="101" spans="4:19" s="23" customFormat="1" ht="17.100000000000001" customHeight="1">
      <c r="D101" s="954" t="s">
        <v>115</v>
      </c>
      <c r="E101" s="117">
        <f t="shared" si="11"/>
        <v>0</v>
      </c>
      <c r="F101" s="117">
        <f t="shared" si="12"/>
        <v>0</v>
      </c>
      <c r="G101" s="251"/>
      <c r="H101" s="251"/>
      <c r="I101" s="251"/>
      <c r="M101" s="158"/>
      <c r="N101" s="158"/>
      <c r="O101" s="158"/>
      <c r="S101" s="115"/>
    </row>
    <row r="102" spans="4:19" s="23" customFormat="1" ht="17.100000000000001" customHeight="1">
      <c r="D102" s="954" t="s">
        <v>27</v>
      </c>
      <c r="E102" s="117">
        <f t="shared" si="11"/>
        <v>0</v>
      </c>
      <c r="F102" s="117">
        <f t="shared" si="12"/>
        <v>0</v>
      </c>
      <c r="G102" s="251"/>
      <c r="H102" s="251"/>
      <c r="I102" s="251"/>
      <c r="M102" s="158"/>
      <c r="N102" s="158"/>
      <c r="O102" s="158"/>
      <c r="S102" s="115"/>
    </row>
    <row r="103" spans="4:19" s="23" customFormat="1" ht="17.100000000000001" customHeight="1">
      <c r="D103" s="954" t="s">
        <v>111</v>
      </c>
      <c r="E103" s="117">
        <f t="shared" si="11"/>
        <v>0</v>
      </c>
      <c r="F103" s="117">
        <f t="shared" si="12"/>
        <v>0</v>
      </c>
      <c r="G103" s="251"/>
      <c r="H103" s="251"/>
      <c r="I103" s="251"/>
      <c r="M103" s="158"/>
      <c r="N103" s="158"/>
      <c r="O103" s="158"/>
      <c r="S103" s="115"/>
    </row>
    <row r="104" spans="4:19" s="23" customFormat="1" ht="17.100000000000001" customHeight="1">
      <c r="D104" s="954" t="s">
        <v>14</v>
      </c>
      <c r="E104" s="117">
        <f t="shared" si="11"/>
        <v>0</v>
      </c>
      <c r="F104" s="117">
        <f t="shared" si="12"/>
        <v>0</v>
      </c>
      <c r="G104" s="251"/>
      <c r="H104" s="251"/>
      <c r="I104" s="251"/>
      <c r="M104" s="158"/>
      <c r="N104" s="158"/>
      <c r="O104" s="158"/>
      <c r="S104" s="115"/>
    </row>
    <row r="105" spans="4:19" s="23" customFormat="1" ht="17.100000000000001" customHeight="1">
      <c r="D105" s="954" t="s">
        <v>114</v>
      </c>
      <c r="E105" s="117">
        <f t="shared" si="11"/>
        <v>0</v>
      </c>
      <c r="F105" s="117">
        <f t="shared" si="12"/>
        <v>0</v>
      </c>
      <c r="G105" s="251"/>
      <c r="H105" s="251"/>
      <c r="I105" s="251"/>
      <c r="M105" s="158"/>
      <c r="N105" s="158"/>
      <c r="O105" s="158"/>
      <c r="S105" s="115"/>
    </row>
    <row r="106" spans="4:19" s="23" customFormat="1" ht="17.100000000000001" customHeight="1">
      <c r="D106" s="954" t="s">
        <v>110</v>
      </c>
      <c r="E106" s="117">
        <f t="shared" si="11"/>
        <v>0</v>
      </c>
      <c r="F106" s="117">
        <f t="shared" si="12"/>
        <v>0</v>
      </c>
      <c r="G106" s="251"/>
      <c r="H106" s="251"/>
      <c r="I106" s="251"/>
      <c r="M106" s="158"/>
      <c r="N106" s="158"/>
      <c r="O106" s="158"/>
      <c r="S106" s="115"/>
    </row>
    <row r="107" spans="4:19" s="23" customFormat="1" ht="17.100000000000001" customHeight="1">
      <c r="D107" s="954" t="s">
        <v>112</v>
      </c>
      <c r="E107" s="117">
        <f t="shared" si="11"/>
        <v>0</v>
      </c>
      <c r="F107" s="117">
        <f t="shared" si="12"/>
        <v>0</v>
      </c>
      <c r="G107" s="251"/>
      <c r="H107" s="251"/>
      <c r="I107" s="251"/>
      <c r="M107" s="158"/>
      <c r="N107" s="158"/>
      <c r="O107" s="158"/>
      <c r="S107" s="115"/>
    </row>
    <row r="108" spans="4:19" s="23" customFormat="1" ht="17.100000000000001" customHeight="1">
      <c r="D108" s="954" t="s">
        <v>109</v>
      </c>
      <c r="E108" s="117">
        <f t="shared" si="11"/>
        <v>0</v>
      </c>
      <c r="F108" s="117">
        <f t="shared" si="12"/>
        <v>0</v>
      </c>
      <c r="G108" s="251"/>
      <c r="H108" s="251"/>
      <c r="I108" s="251"/>
      <c r="M108" s="158"/>
      <c r="N108" s="158"/>
      <c r="O108" s="158"/>
      <c r="S108" s="115"/>
    </row>
    <row r="109" spans="4:19" s="23" customFormat="1" ht="17.100000000000001" customHeight="1">
      <c r="D109" s="954" t="s">
        <v>113</v>
      </c>
      <c r="E109" s="117">
        <f>SUM(G109:I109)</f>
        <v>0</v>
      </c>
      <c r="F109" s="117">
        <f t="shared" si="12"/>
        <v>0</v>
      </c>
      <c r="G109" s="251"/>
      <c r="H109" s="251"/>
      <c r="I109" s="251"/>
      <c r="M109" s="158"/>
      <c r="N109" s="158"/>
      <c r="O109" s="158"/>
      <c r="S109" s="115"/>
    </row>
    <row r="110" spans="4:19" s="23" customFormat="1" ht="17.100000000000001" customHeight="1">
      <c r="D110" s="358" t="s">
        <v>116</v>
      </c>
      <c r="E110" s="359"/>
      <c r="F110" s="359"/>
      <c r="G110" s="361"/>
      <c r="H110" s="360"/>
      <c r="I110" s="360"/>
      <c r="M110" s="158"/>
      <c r="N110" s="158"/>
      <c r="O110" s="158"/>
      <c r="S110" s="115"/>
    </row>
    <row r="111" spans="4:19" s="23" customFormat="1" ht="17.100000000000001" customHeight="1">
      <c r="D111" s="954" t="s">
        <v>120</v>
      </c>
      <c r="E111" s="117">
        <f t="shared" ref="E111:E117" si="13">SUM(G111:I111)</f>
        <v>0</v>
      </c>
      <c r="F111" s="117">
        <f t="shared" ref="F111:F117" si="14">IFERROR(E111/Units,0)</f>
        <v>0</v>
      </c>
      <c r="G111" s="267"/>
      <c r="H111" s="257"/>
      <c r="I111" s="251"/>
      <c r="M111" s="158"/>
      <c r="N111" s="158"/>
      <c r="O111" s="158"/>
      <c r="S111" s="115"/>
    </row>
    <row r="112" spans="4:19" s="23" customFormat="1" ht="17.100000000000001" customHeight="1">
      <c r="D112" s="954" t="s">
        <v>26</v>
      </c>
      <c r="E112" s="117">
        <f t="shared" si="13"/>
        <v>0</v>
      </c>
      <c r="F112" s="117">
        <f t="shared" si="14"/>
        <v>0</v>
      </c>
      <c r="G112" s="267"/>
      <c r="H112" s="257"/>
      <c r="I112" s="251"/>
      <c r="M112" s="158"/>
      <c r="N112" s="158"/>
      <c r="O112" s="158"/>
      <c r="S112" s="115"/>
    </row>
    <row r="113" spans="1:19" s="23" customFormat="1" ht="17.100000000000001" customHeight="1">
      <c r="D113" s="954" t="s">
        <v>121</v>
      </c>
      <c r="E113" s="117">
        <f t="shared" si="13"/>
        <v>0</v>
      </c>
      <c r="F113" s="117">
        <f t="shared" si="14"/>
        <v>0</v>
      </c>
      <c r="G113" s="267"/>
      <c r="H113" s="267"/>
      <c r="I113" s="251"/>
      <c r="M113" s="158"/>
      <c r="N113" s="158"/>
      <c r="O113" s="158"/>
      <c r="S113" s="115"/>
    </row>
    <row r="114" spans="1:19" s="23" customFormat="1" ht="17.100000000000001" customHeight="1">
      <c r="D114" s="954" t="s">
        <v>118</v>
      </c>
      <c r="E114" s="117">
        <f t="shared" si="13"/>
        <v>0</v>
      </c>
      <c r="F114" s="117">
        <f t="shared" si="14"/>
        <v>0</v>
      </c>
      <c r="G114" s="267"/>
      <c r="H114" s="257"/>
      <c r="I114" s="251"/>
      <c r="M114" s="158"/>
      <c r="N114" s="158"/>
      <c r="O114" s="158"/>
      <c r="S114" s="115"/>
    </row>
    <row r="115" spans="1:19" s="23" customFormat="1" ht="17.100000000000001" customHeight="1">
      <c r="D115" s="954" t="s">
        <v>117</v>
      </c>
      <c r="E115" s="117">
        <f t="shared" si="13"/>
        <v>0</v>
      </c>
      <c r="F115" s="117">
        <f t="shared" si="14"/>
        <v>0</v>
      </c>
      <c r="G115" s="267"/>
      <c r="H115" s="267"/>
      <c r="I115" s="251"/>
      <c r="M115" s="158"/>
      <c r="N115" s="158"/>
      <c r="O115" s="158"/>
      <c r="S115" s="115"/>
    </row>
    <row r="116" spans="1:19" s="23" customFormat="1" ht="17.100000000000001" customHeight="1">
      <c r="D116" s="954" t="s">
        <v>453</v>
      </c>
      <c r="E116" s="117">
        <f t="shared" si="13"/>
        <v>0</v>
      </c>
      <c r="F116" s="117">
        <f t="shared" si="14"/>
        <v>0</v>
      </c>
      <c r="G116" s="267"/>
      <c r="H116" s="356"/>
      <c r="I116" s="251"/>
      <c r="M116" s="158"/>
      <c r="N116" s="158"/>
      <c r="O116" s="158"/>
      <c r="S116" s="115"/>
    </row>
    <row r="117" spans="1:19" s="23" customFormat="1" ht="16.5" customHeight="1">
      <c r="D117" s="954" t="s">
        <v>119</v>
      </c>
      <c r="E117" s="117">
        <f t="shared" si="13"/>
        <v>0</v>
      </c>
      <c r="F117" s="117">
        <f t="shared" si="14"/>
        <v>0</v>
      </c>
      <c r="G117" s="267"/>
      <c r="H117" s="257"/>
      <c r="I117" s="251"/>
      <c r="M117" s="158"/>
      <c r="N117" s="158"/>
      <c r="O117" s="158"/>
      <c r="S117" s="115"/>
    </row>
    <row r="118" spans="1:19" s="23" customFormat="1" ht="17.100000000000001" customHeight="1">
      <c r="D118" s="358" t="s">
        <v>122</v>
      </c>
      <c r="E118" s="359"/>
      <c r="F118" s="359"/>
      <c r="G118" s="360"/>
      <c r="H118" s="360"/>
      <c r="I118" s="360"/>
      <c r="M118" s="158"/>
      <c r="N118" s="158"/>
      <c r="O118" s="158"/>
      <c r="S118" s="115"/>
    </row>
    <row r="119" spans="1:19" s="23" customFormat="1" ht="17.100000000000001" customHeight="1">
      <c r="D119" s="133" t="s">
        <v>417</v>
      </c>
      <c r="E119" s="117">
        <f>SUM(G119:I119)</f>
        <v>0</v>
      </c>
      <c r="F119" s="117">
        <f>IFERROR(E119/Units,0)</f>
        <v>0</v>
      </c>
      <c r="G119" s="267"/>
      <c r="H119" s="251"/>
      <c r="I119" s="251"/>
      <c r="M119" s="158"/>
      <c r="N119" s="158"/>
      <c r="O119" s="158"/>
      <c r="S119" s="115"/>
    </row>
    <row r="120" spans="1:19" s="23" customFormat="1" ht="17.100000000000001" customHeight="1">
      <c r="D120" s="133" t="s">
        <v>12</v>
      </c>
      <c r="E120" s="117">
        <f>SUM(G120:I120)</f>
        <v>0</v>
      </c>
      <c r="F120" s="117">
        <f>IFERROR(E120/Units,0)</f>
        <v>0</v>
      </c>
      <c r="G120" s="251"/>
      <c r="H120" s="251"/>
      <c r="I120" s="251"/>
      <c r="M120" s="158"/>
      <c r="N120" s="158"/>
      <c r="O120" s="158"/>
      <c r="S120" s="115"/>
    </row>
    <row r="121" spans="1:19" s="23" customFormat="1" ht="17.100000000000001" customHeight="1">
      <c r="C121" s="71"/>
      <c r="D121" s="133" t="s">
        <v>13</v>
      </c>
      <c r="E121" s="117">
        <f>SUM(G121:I121)</f>
        <v>0</v>
      </c>
      <c r="F121" s="117">
        <f>IFERROR(E121/Units,0)</f>
        <v>0</v>
      </c>
      <c r="G121" s="251"/>
      <c r="H121" s="251"/>
      <c r="I121" s="251"/>
      <c r="M121" s="158"/>
      <c r="N121" s="158"/>
      <c r="O121" s="158"/>
    </row>
    <row r="122" spans="1:19" s="23" customFormat="1" ht="17.100000000000001" customHeight="1">
      <c r="D122" s="358" t="s">
        <v>123</v>
      </c>
      <c r="E122" s="359"/>
      <c r="F122" s="359"/>
      <c r="G122" s="360"/>
      <c r="H122" s="360"/>
      <c r="I122" s="360"/>
      <c r="M122" s="158"/>
      <c r="N122" s="158"/>
      <c r="O122" s="158"/>
      <c r="S122" s="115"/>
    </row>
    <row r="123" spans="1:19" s="23" customFormat="1" ht="17.100000000000001" customHeight="1">
      <c r="C123" s="71"/>
      <c r="D123" s="954" t="s">
        <v>125</v>
      </c>
      <c r="E123" s="117">
        <f t="shared" ref="E123:E129" si="15">SUM(G123:I123)</f>
        <v>0</v>
      </c>
      <c r="F123" s="117">
        <f t="shared" ref="F123:F129" si="16">IFERROR(E123/Units,0)</f>
        <v>0</v>
      </c>
      <c r="G123" s="267"/>
      <c r="H123" s="267"/>
      <c r="I123" s="251"/>
      <c r="M123" s="158"/>
      <c r="N123" s="158"/>
      <c r="O123" s="158"/>
    </row>
    <row r="124" spans="1:19" s="23" customFormat="1" ht="17.100000000000001" customHeight="1">
      <c r="A124" s="341"/>
      <c r="D124" s="955" t="s">
        <v>634</v>
      </c>
      <c r="E124" s="117">
        <f t="shared" si="15"/>
        <v>0</v>
      </c>
      <c r="F124" s="117">
        <f t="shared" si="16"/>
        <v>0</v>
      </c>
      <c r="G124" s="267"/>
      <c r="H124" s="267"/>
      <c r="I124" s="251"/>
      <c r="J124" s="342">
        <f>'0)UnderwritingCriteria'!D26</f>
        <v>0</v>
      </c>
      <c r="K124" s="65" t="s">
        <v>163</v>
      </c>
      <c r="M124" s="158"/>
      <c r="N124" s="158"/>
      <c r="O124" s="158"/>
    </row>
    <row r="125" spans="1:19" s="23" customFormat="1" ht="17.100000000000001" customHeight="1">
      <c r="C125" s="71"/>
      <c r="D125" s="954" t="s">
        <v>124</v>
      </c>
      <c r="E125" s="117">
        <f t="shared" si="15"/>
        <v>0</v>
      </c>
      <c r="F125" s="117">
        <f t="shared" si="16"/>
        <v>0</v>
      </c>
      <c r="G125" s="267"/>
      <c r="H125" s="267"/>
      <c r="I125" s="251"/>
      <c r="J125" s="1333" t="s">
        <v>635</v>
      </c>
      <c r="K125" s="1334"/>
      <c r="M125" s="158"/>
      <c r="N125" s="158"/>
      <c r="O125" s="158"/>
    </row>
    <row r="126" spans="1:19" s="23" customFormat="1" ht="17.100000000000001" customHeight="1">
      <c r="C126" s="71"/>
      <c r="D126" s="954" t="s">
        <v>126</v>
      </c>
      <c r="E126" s="117">
        <f t="shared" si="15"/>
        <v>0</v>
      </c>
      <c r="F126" s="117">
        <f t="shared" si="16"/>
        <v>0</v>
      </c>
      <c r="G126" s="267"/>
      <c r="H126" s="267"/>
      <c r="I126" s="251"/>
      <c r="J126" s="1333"/>
      <c r="K126" s="1334"/>
      <c r="M126" s="158"/>
      <c r="N126" s="158"/>
      <c r="O126" s="158"/>
    </row>
    <row r="127" spans="1:19" s="23" customFormat="1" ht="17.100000000000001" customHeight="1">
      <c r="C127" s="71"/>
      <c r="D127" s="138" t="s">
        <v>139</v>
      </c>
      <c r="E127" s="117">
        <f t="shared" si="15"/>
        <v>0</v>
      </c>
      <c r="F127" s="117">
        <f t="shared" si="16"/>
        <v>0</v>
      </c>
      <c r="G127" s="267"/>
      <c r="H127" s="267"/>
      <c r="I127" s="251"/>
      <c r="J127" s="1319"/>
      <c r="K127" s="1320"/>
      <c r="M127" s="158"/>
      <c r="N127" s="158"/>
      <c r="O127" s="158"/>
    </row>
    <row r="128" spans="1:19" s="23" customFormat="1" ht="17.100000000000001" customHeight="1">
      <c r="C128" s="71"/>
      <c r="D128" s="138" t="s">
        <v>139</v>
      </c>
      <c r="E128" s="117">
        <f t="shared" si="15"/>
        <v>0</v>
      </c>
      <c r="F128" s="117">
        <f t="shared" si="16"/>
        <v>0</v>
      </c>
      <c r="G128" s="267"/>
      <c r="H128" s="267"/>
      <c r="I128" s="251"/>
      <c r="M128" s="158"/>
      <c r="N128" s="158"/>
      <c r="O128" s="158"/>
    </row>
    <row r="129" spans="2:19" s="23" customFormat="1" ht="17.100000000000001" customHeight="1">
      <c r="C129" s="71"/>
      <c r="D129" s="138" t="s">
        <v>139</v>
      </c>
      <c r="E129" s="117">
        <f t="shared" si="15"/>
        <v>0</v>
      </c>
      <c r="F129" s="117">
        <f t="shared" si="16"/>
        <v>0</v>
      </c>
      <c r="G129" s="267"/>
      <c r="H129" s="267"/>
      <c r="I129" s="251"/>
      <c r="M129" s="158"/>
      <c r="N129" s="158"/>
      <c r="O129" s="158"/>
    </row>
    <row r="130" spans="2:19" s="23" customFormat="1" ht="17.100000000000001" customHeight="1">
      <c r="D130" s="358" t="s">
        <v>127</v>
      </c>
      <c r="E130" s="359"/>
      <c r="F130" s="359"/>
      <c r="G130" s="360"/>
      <c r="H130" s="360"/>
      <c r="I130" s="360"/>
      <c r="M130" s="158"/>
      <c r="N130" s="158"/>
      <c r="O130" s="158"/>
      <c r="S130" s="115"/>
    </row>
    <row r="131" spans="2:19" s="23" customFormat="1" ht="17.100000000000001" customHeight="1">
      <c r="C131" s="71"/>
      <c r="D131" s="133" t="s">
        <v>130</v>
      </c>
      <c r="E131" s="117">
        <f>SUM(G131:I131)</f>
        <v>0</v>
      </c>
      <c r="F131" s="117">
        <f>IFERROR(E131/Units,0)</f>
        <v>0</v>
      </c>
      <c r="G131" s="267"/>
      <c r="H131" s="267"/>
      <c r="I131" s="251"/>
      <c r="M131" s="158"/>
      <c r="N131" s="158"/>
      <c r="O131" s="158"/>
    </row>
    <row r="132" spans="2:19" s="23" customFormat="1" ht="17.100000000000001" customHeight="1">
      <c r="C132" s="71"/>
      <c r="D132" s="133" t="s">
        <v>131</v>
      </c>
      <c r="E132" s="117">
        <f>SUM(G132:I132)</f>
        <v>0</v>
      </c>
      <c r="F132" s="117">
        <f>IFERROR(E132/Units,0)</f>
        <v>0</v>
      </c>
      <c r="G132" s="267"/>
      <c r="H132" s="267"/>
      <c r="I132" s="251"/>
      <c r="M132" s="158"/>
      <c r="N132" s="158"/>
      <c r="O132" s="158"/>
    </row>
    <row r="133" spans="2:19" s="23" customFormat="1" ht="17.100000000000001" customHeight="1">
      <c r="C133" s="71"/>
      <c r="D133" s="133" t="s">
        <v>128</v>
      </c>
      <c r="E133" s="117">
        <f>SUM(G133:I133)</f>
        <v>0</v>
      </c>
      <c r="F133" s="117">
        <f>IFERROR(E133/Units,0)</f>
        <v>0</v>
      </c>
      <c r="G133" s="267"/>
      <c r="H133" s="267"/>
      <c r="I133" s="251"/>
      <c r="M133" s="158"/>
      <c r="N133" s="158"/>
      <c r="O133" s="158"/>
    </row>
    <row r="134" spans="2:19" s="23" customFormat="1" ht="17.100000000000001" customHeight="1">
      <c r="D134" s="358" t="s">
        <v>132</v>
      </c>
      <c r="E134" s="359"/>
      <c r="F134" s="359"/>
      <c r="G134" s="360"/>
      <c r="H134" s="360"/>
      <c r="I134" s="360"/>
      <c r="M134" s="158"/>
      <c r="N134" s="158"/>
      <c r="O134" s="158"/>
      <c r="S134" s="115"/>
    </row>
    <row r="135" spans="2:19" s="23" customFormat="1" ht="17.100000000000001" customHeight="1">
      <c r="D135" s="952" t="s">
        <v>318</v>
      </c>
      <c r="E135" s="117">
        <f>SUM(G135:I135)</f>
        <v>0</v>
      </c>
      <c r="F135" s="117">
        <f t="shared" ref="F135:F152" si="17">IFERROR(E135/Units,0)</f>
        <v>0</v>
      </c>
      <c r="G135" s="251"/>
      <c r="H135" s="251"/>
      <c r="I135" s="251"/>
      <c r="M135" s="158"/>
      <c r="N135" s="158"/>
      <c r="O135" s="158"/>
    </row>
    <row r="136" spans="2:19" s="23" customFormat="1" ht="17.100000000000001" customHeight="1">
      <c r="C136" s="71"/>
      <c r="D136" s="952" t="s">
        <v>133</v>
      </c>
      <c r="E136" s="117">
        <f t="shared" ref="E136:E152" si="18">SUM(G136:I136)</f>
        <v>0</v>
      </c>
      <c r="F136" s="117">
        <f t="shared" si="17"/>
        <v>0</v>
      </c>
      <c r="G136" s="267"/>
      <c r="H136" s="251"/>
      <c r="I136" s="251"/>
      <c r="M136" s="158"/>
      <c r="N136" s="158"/>
      <c r="O136" s="158"/>
    </row>
    <row r="137" spans="2:19" s="23" customFormat="1" ht="17.100000000000001" customHeight="1">
      <c r="C137" s="71"/>
      <c r="D137" s="952" t="s">
        <v>19</v>
      </c>
      <c r="E137" s="117">
        <f t="shared" si="18"/>
        <v>0</v>
      </c>
      <c r="F137" s="117">
        <f t="shared" si="17"/>
        <v>0</v>
      </c>
      <c r="G137" s="267"/>
      <c r="H137" s="267"/>
      <c r="I137" s="251"/>
      <c r="M137" s="158"/>
      <c r="N137" s="158"/>
      <c r="O137" s="158"/>
    </row>
    <row r="138" spans="2:19" s="23" customFormat="1" ht="17.100000000000001" customHeight="1">
      <c r="D138" s="952" t="s">
        <v>22</v>
      </c>
      <c r="E138" s="117">
        <f t="shared" si="18"/>
        <v>0</v>
      </c>
      <c r="F138" s="117">
        <f t="shared" si="17"/>
        <v>0</v>
      </c>
      <c r="G138" s="251"/>
      <c r="H138" s="251"/>
      <c r="I138" s="251"/>
      <c r="M138" s="158"/>
      <c r="N138" s="158"/>
      <c r="O138" s="158"/>
    </row>
    <row r="139" spans="2:19" s="23" customFormat="1" ht="17.100000000000001" customHeight="1">
      <c r="B139" s="127"/>
      <c r="C139" s="71"/>
      <c r="D139" s="953" t="s">
        <v>423</v>
      </c>
      <c r="E139" s="117">
        <f>SUM(G139:I139)</f>
        <v>0</v>
      </c>
      <c r="F139" s="117">
        <f t="shared" si="17"/>
        <v>0</v>
      </c>
      <c r="G139" s="251"/>
      <c r="H139" s="251"/>
      <c r="I139" s="251"/>
      <c r="M139" s="158"/>
      <c r="N139" s="158"/>
      <c r="O139" s="158"/>
      <c r="S139" s="115"/>
    </row>
    <row r="140" spans="2:19" s="23" customFormat="1" ht="16.5" customHeight="1">
      <c r="D140" s="952" t="s">
        <v>18</v>
      </c>
      <c r="E140" s="117">
        <f>SUM(G140:I140)</f>
        <v>0</v>
      </c>
      <c r="F140" s="117">
        <f t="shared" si="17"/>
        <v>0</v>
      </c>
      <c r="G140" s="267"/>
      <c r="H140" s="251"/>
      <c r="I140" s="251"/>
      <c r="M140" s="158"/>
      <c r="N140" s="158"/>
      <c r="O140" s="158"/>
    </row>
    <row r="141" spans="2:19" ht="17.100000000000001" customHeight="1">
      <c r="D141" s="952" t="s">
        <v>464</v>
      </c>
      <c r="E141" s="117">
        <f>SUM(G141:I141)</f>
        <v>0</v>
      </c>
      <c r="F141" s="117">
        <f t="shared" si="17"/>
        <v>0</v>
      </c>
      <c r="G141" s="267"/>
      <c r="H141" s="251"/>
      <c r="I141" s="251"/>
    </row>
    <row r="142" spans="2:19" s="23" customFormat="1" ht="17.100000000000001" customHeight="1">
      <c r="D142" s="952" t="s">
        <v>28</v>
      </c>
      <c r="E142" s="117">
        <f t="shared" si="18"/>
        <v>0</v>
      </c>
      <c r="F142" s="117">
        <f t="shared" si="17"/>
        <v>0</v>
      </c>
      <c r="G142" s="267"/>
      <c r="H142" s="251"/>
      <c r="I142" s="251"/>
      <c r="M142" s="158"/>
      <c r="N142" s="158"/>
      <c r="O142" s="158"/>
    </row>
    <row r="143" spans="2:19" s="23" customFormat="1" ht="17.100000000000001" customHeight="1">
      <c r="D143" s="952" t="s">
        <v>15</v>
      </c>
      <c r="E143" s="117">
        <f t="shared" si="18"/>
        <v>0</v>
      </c>
      <c r="F143" s="117">
        <f t="shared" si="17"/>
        <v>0</v>
      </c>
      <c r="G143" s="251"/>
      <c r="H143" s="251"/>
      <c r="I143" s="251"/>
      <c r="M143" s="158"/>
      <c r="N143" s="158"/>
      <c r="O143" s="158"/>
    </row>
    <row r="144" spans="2:19" s="23" customFormat="1" ht="17.100000000000001" customHeight="1">
      <c r="D144" s="952" t="s">
        <v>20</v>
      </c>
      <c r="E144" s="117">
        <f>SUM(G144:I144)</f>
        <v>0</v>
      </c>
      <c r="F144" s="117">
        <f t="shared" si="17"/>
        <v>0</v>
      </c>
      <c r="G144" s="267"/>
      <c r="H144" s="267"/>
      <c r="I144" s="251"/>
      <c r="M144" s="158"/>
      <c r="N144" s="158"/>
      <c r="O144" s="158"/>
    </row>
    <row r="145" spans="3:19" s="23" customFormat="1" ht="16.5" customHeight="1">
      <c r="D145" s="952" t="s">
        <v>451</v>
      </c>
      <c r="E145" s="117">
        <f t="shared" si="18"/>
        <v>0</v>
      </c>
      <c r="F145" s="117">
        <f t="shared" si="17"/>
        <v>0</v>
      </c>
      <c r="G145" s="267"/>
      <c r="H145" s="267"/>
      <c r="I145" s="251"/>
      <c r="M145" s="158"/>
      <c r="N145" s="158"/>
      <c r="O145" s="158"/>
    </row>
    <row r="146" spans="3:19" s="23" customFormat="1" ht="17.100000000000001" customHeight="1">
      <c r="D146" s="952" t="s">
        <v>320</v>
      </c>
      <c r="E146" s="117">
        <f t="shared" si="18"/>
        <v>0</v>
      </c>
      <c r="F146" s="117">
        <f t="shared" si="17"/>
        <v>0</v>
      </c>
      <c r="G146" s="267"/>
      <c r="H146" s="267"/>
      <c r="I146" s="251"/>
      <c r="M146" s="158"/>
      <c r="N146" s="158"/>
      <c r="O146" s="158"/>
    </row>
    <row r="147" spans="3:19" s="23" customFormat="1" ht="17.100000000000001" customHeight="1">
      <c r="D147" s="952" t="s">
        <v>723</v>
      </c>
      <c r="E147" s="117">
        <f>SUM(G147:I147)</f>
        <v>0</v>
      </c>
      <c r="F147" s="117">
        <f t="shared" si="17"/>
        <v>0</v>
      </c>
      <c r="G147" s="267"/>
      <c r="H147" s="267"/>
      <c r="I147" s="251"/>
      <c r="M147" s="158"/>
      <c r="N147" s="158"/>
      <c r="O147" s="158"/>
    </row>
    <row r="148" spans="3:19" s="23" customFormat="1" ht="17.100000000000001" customHeight="1">
      <c r="D148" s="952" t="s">
        <v>724</v>
      </c>
      <c r="E148" s="117">
        <f>SUM(G148:I148)</f>
        <v>0</v>
      </c>
      <c r="F148" s="117">
        <f t="shared" si="17"/>
        <v>0</v>
      </c>
      <c r="G148" s="267"/>
      <c r="H148" s="267"/>
      <c r="I148" s="251"/>
      <c r="M148" s="158"/>
      <c r="N148" s="158"/>
      <c r="O148" s="158"/>
    </row>
    <row r="149" spans="3:19" s="23" customFormat="1" ht="17.100000000000001" customHeight="1">
      <c r="D149" s="1146" t="s">
        <v>471</v>
      </c>
      <c r="E149" s="117">
        <f>SUM(G149:I149)</f>
        <v>0</v>
      </c>
      <c r="F149" s="117">
        <f t="shared" si="17"/>
        <v>0</v>
      </c>
      <c r="G149" s="267"/>
      <c r="H149" s="267"/>
      <c r="I149" s="251"/>
      <c r="M149" s="158"/>
      <c r="N149" s="158"/>
      <c r="O149" s="158"/>
    </row>
    <row r="150" spans="3:19" s="23" customFormat="1" ht="17.100000000000001" customHeight="1">
      <c r="D150" s="1173" t="s">
        <v>794</v>
      </c>
      <c r="E150" s="1145">
        <f t="shared" si="18"/>
        <v>0</v>
      </c>
      <c r="F150" s="117">
        <f t="shared" si="17"/>
        <v>0</v>
      </c>
      <c r="G150" s="251"/>
      <c r="H150" s="251"/>
      <c r="I150" s="251"/>
      <c r="M150" s="158"/>
      <c r="N150" s="158"/>
      <c r="O150" s="158"/>
    </row>
    <row r="151" spans="3:19" s="23" customFormat="1" ht="17.100000000000001" customHeight="1">
      <c r="D151" s="122"/>
      <c r="E151" s="117">
        <f t="shared" si="18"/>
        <v>0</v>
      </c>
      <c r="F151" s="117">
        <f t="shared" si="17"/>
        <v>0</v>
      </c>
      <c r="G151" s="251"/>
      <c r="H151" s="251"/>
      <c r="I151" s="251"/>
      <c r="M151" s="158"/>
      <c r="N151" s="158"/>
      <c r="O151" s="158"/>
    </row>
    <row r="152" spans="3:19" s="23" customFormat="1" ht="17.100000000000001" customHeight="1">
      <c r="D152" s="122"/>
      <c r="E152" s="117">
        <f t="shared" si="18"/>
        <v>0</v>
      </c>
      <c r="F152" s="117">
        <f t="shared" si="17"/>
        <v>0</v>
      </c>
      <c r="G152" s="251"/>
      <c r="H152" s="251"/>
      <c r="I152" s="251"/>
      <c r="M152" s="158"/>
      <c r="N152" s="158"/>
      <c r="O152" s="158"/>
    </row>
    <row r="153" spans="3:19" s="23" customFormat="1" ht="17.100000000000001" customHeight="1">
      <c r="D153" s="365" t="s">
        <v>134</v>
      </c>
      <c r="E153" s="359"/>
      <c r="F153" s="359"/>
      <c r="G153" s="360"/>
      <c r="H153" s="360"/>
      <c r="I153" s="360"/>
      <c r="J153" s="1332" t="s">
        <v>383</v>
      </c>
      <c r="K153" s="1332"/>
      <c r="M153" s="158"/>
      <c r="N153" s="158"/>
      <c r="O153" s="158"/>
      <c r="S153" s="115"/>
    </row>
    <row r="154" spans="3:19" s="23" customFormat="1" ht="17.100000000000001" customHeight="1">
      <c r="D154" s="954" t="s">
        <v>17</v>
      </c>
      <c r="E154" s="117">
        <f>SUM(G154:I154)</f>
        <v>0</v>
      </c>
      <c r="F154" s="117">
        <f>IFERROR(E154/Units,0)</f>
        <v>0</v>
      </c>
      <c r="G154" s="251"/>
      <c r="H154" s="251"/>
      <c r="I154" s="251"/>
      <c r="J154" s="1332"/>
      <c r="K154" s="1332"/>
      <c r="M154" s="158"/>
      <c r="N154" s="158"/>
      <c r="O154" s="158"/>
    </row>
    <row r="155" spans="3:19" s="23" customFormat="1" ht="17.100000000000001" customHeight="1">
      <c r="D155" s="954" t="s">
        <v>135</v>
      </c>
      <c r="E155" s="117">
        <f>SUM(G155:I155)</f>
        <v>0</v>
      </c>
      <c r="F155" s="117">
        <f>IFERROR(E155/Units,0)</f>
        <v>0</v>
      </c>
      <c r="G155" s="251"/>
      <c r="H155" s="251"/>
      <c r="I155" s="251"/>
      <c r="J155" s="125" t="str">
        <f>IF(ISERROR(($E$154+E155+$E$156)/($E$159-($E$154+E155+$E$156))),"N/A",($E$154+E155+$E$156)/($E$159-($E$154+E155+$E$156)))</f>
        <v>N/A</v>
      </c>
      <c r="K155" s="23" t="s">
        <v>329</v>
      </c>
      <c r="M155" s="158"/>
      <c r="N155" s="269" t="s">
        <v>4</v>
      </c>
      <c r="O155" s="295" t="e">
        <f>F16+#REF!</f>
        <v>#REF!</v>
      </c>
    </row>
    <row r="156" spans="3:19" s="23" customFormat="1" ht="17.100000000000001" customHeight="1">
      <c r="D156" s="954" t="s">
        <v>472</v>
      </c>
      <c r="E156" s="117">
        <f>SUM(G156:I156)</f>
        <v>0</v>
      </c>
      <c r="F156" s="117">
        <f>IFERROR(E156/Units,0)</f>
        <v>0</v>
      </c>
      <c r="G156" s="251"/>
      <c r="H156" s="251"/>
      <c r="I156" s="251"/>
      <c r="M156" s="158"/>
      <c r="N156" s="158"/>
      <c r="O156" s="158"/>
    </row>
    <row r="157" spans="3:19" s="1" customFormat="1" ht="17.100000000000001" customHeight="1">
      <c r="D157" s="15" t="s">
        <v>424</v>
      </c>
      <c r="E157" s="116">
        <f>SUM(E98:E156)</f>
        <v>0</v>
      </c>
      <c r="F157" s="116">
        <f>IFERROR(E157/Units,0)</f>
        <v>0</v>
      </c>
      <c r="G157" s="253">
        <f>SUM(G98:G156)</f>
        <v>0</v>
      </c>
      <c r="H157" s="253">
        <f>SUM(H98:H156)</f>
        <v>0</v>
      </c>
      <c r="I157" s="253">
        <f>SUM(I98:I156)</f>
        <v>0</v>
      </c>
      <c r="J157" s="125" t="str">
        <f>IF(ISERROR($E$157/$E$159),"N/A",$E$157/$E$159)</f>
        <v>N/A</v>
      </c>
      <c r="K157" s="23" t="s">
        <v>329</v>
      </c>
      <c r="M157" s="192"/>
      <c r="N157" s="192"/>
      <c r="O157" s="192"/>
      <c r="S157" s="96"/>
    </row>
    <row r="158" spans="3:19" ht="15.6">
      <c r="C158"/>
      <c r="D158" s="15"/>
      <c r="E158" s="20"/>
      <c r="F158" s="20"/>
      <c r="G158" s="258"/>
      <c r="H158" s="258"/>
      <c r="I158" s="258"/>
      <c r="S158" s="31"/>
    </row>
    <row r="159" spans="3:19" s="1" customFormat="1" ht="17.100000000000001" customHeight="1">
      <c r="D159" s="134" t="s">
        <v>321</v>
      </c>
      <c r="E159" s="332">
        <f>SUM(E62+E91+E94+E157)</f>
        <v>0</v>
      </c>
      <c r="F159" s="293">
        <f>IFERROR(E159/Units,0)</f>
        <v>0</v>
      </c>
      <c r="G159" s="259">
        <f>SUM(G62+G91+G94+G157)</f>
        <v>0</v>
      </c>
      <c r="H159" s="259">
        <f>SUM(H62+H91+H94+H157)</f>
        <v>0</v>
      </c>
      <c r="I159" s="333">
        <f>SUM(I62+I91+I94+I157)</f>
        <v>0</v>
      </c>
      <c r="J159" s="131"/>
      <c r="L159" s="421"/>
      <c r="M159" s="192"/>
      <c r="N159" s="192"/>
      <c r="O159" s="192"/>
    </row>
    <row r="160" spans="3:19" ht="18.75" customHeight="1">
      <c r="C160"/>
      <c r="D160" s="366" t="s">
        <v>455</v>
      </c>
      <c r="E160" s="67"/>
      <c r="F160" s="67"/>
      <c r="G160" s="255"/>
      <c r="H160" s="255"/>
      <c r="I160" s="255"/>
      <c r="S160" s="31"/>
    </row>
    <row r="161" spans="3:10" ht="18.75" customHeight="1">
      <c r="C161"/>
      <c r="D161" s="372" t="s">
        <v>473</v>
      </c>
      <c r="E161" s="335">
        <f>F15</f>
        <v>0</v>
      </c>
      <c r="F161" s="248"/>
      <c r="G161" s="252"/>
      <c r="H161" s="252"/>
      <c r="I161" s="252"/>
      <c r="J161" s="132"/>
    </row>
    <row r="162" spans="3:10" ht="18.75" customHeight="1">
      <c r="C162"/>
      <c r="D162" s="372" t="s">
        <v>478</v>
      </c>
      <c r="E162" s="353">
        <f>I162</f>
        <v>0</v>
      </c>
      <c r="F162" s="248"/>
      <c r="G162" s="252"/>
      <c r="H162" s="252"/>
      <c r="I162" s="375"/>
      <c r="J162" s="132"/>
    </row>
    <row r="163" spans="3:10" ht="18.75" customHeight="1">
      <c r="C163"/>
      <c r="D163" s="372" t="s">
        <v>474</v>
      </c>
      <c r="E163" s="353">
        <f>AD37</f>
        <v>0</v>
      </c>
      <c r="F163" s="248"/>
      <c r="G163" s="252"/>
      <c r="H163" s="252"/>
      <c r="I163" s="252"/>
      <c r="J163" s="132"/>
    </row>
    <row r="164" spans="3:10" ht="18.75" customHeight="1">
      <c r="C164"/>
      <c r="D164" s="372" t="s">
        <v>475</v>
      </c>
      <c r="E164" s="334"/>
      <c r="F164" s="248"/>
      <c r="G164" s="252"/>
      <c r="H164" s="252"/>
      <c r="I164" s="252"/>
      <c r="J164" s="132"/>
    </row>
    <row r="165" spans="3:10" ht="18.75" customHeight="1">
      <c r="C165"/>
      <c r="D165" s="372" t="s">
        <v>476</v>
      </c>
      <c r="E165" s="334"/>
      <c r="F165" s="248"/>
      <c r="G165" s="252"/>
      <c r="H165" s="252"/>
      <c r="I165" s="252"/>
      <c r="J165" s="132"/>
    </row>
    <row r="166" spans="3:10" ht="18.75" customHeight="1">
      <c r="C166"/>
      <c r="D166" s="372" t="s">
        <v>477</v>
      </c>
      <c r="E166" s="335">
        <f>IF('5)Operating Proforma'!C54&gt;0,'5)Operating Proforma'!C54,0)</f>
        <v>0</v>
      </c>
      <c r="F166" s="248"/>
      <c r="G166" s="252"/>
      <c r="H166" s="252"/>
      <c r="I166" s="252"/>
    </row>
    <row r="167" spans="3:10" ht="17.100000000000001" customHeight="1">
      <c r="C167"/>
      <c r="D167" s="135" t="s">
        <v>151</v>
      </c>
      <c r="E167" s="336">
        <f>(G159-(SUM(E161:E166)))</f>
        <v>0</v>
      </c>
      <c r="F167" s="248"/>
      <c r="G167" s="252"/>
      <c r="H167" s="252"/>
      <c r="I167" s="252"/>
      <c r="J167" s="132"/>
    </row>
    <row r="168" spans="3:10" ht="17.100000000000001" customHeight="1">
      <c r="C168"/>
      <c r="D168" s="136" t="s">
        <v>444</v>
      </c>
      <c r="E168" s="337">
        <v>1</v>
      </c>
      <c r="F168" s="248"/>
      <c r="G168" s="25">
        <f>E168</f>
        <v>1</v>
      </c>
      <c r="H168" s="25">
        <v>1</v>
      </c>
      <c r="I168" s="252"/>
    </row>
    <row r="169" spans="3:10" ht="17.100000000000001" customHeight="1">
      <c r="C169"/>
      <c r="D169" s="135" t="s">
        <v>152</v>
      </c>
      <c r="E169" s="332">
        <f>SUM(G169:H169)</f>
        <v>0</v>
      </c>
      <c r="F169" s="248"/>
      <c r="G169" s="26">
        <f>E167*G168</f>
        <v>0</v>
      </c>
      <c r="H169" s="268">
        <f>H159*H168</f>
        <v>0</v>
      </c>
      <c r="I169" s="252"/>
    </row>
    <row r="170" spans="3:10" ht="15.6">
      <c r="C170"/>
      <c r="D170" s="15" t="s">
        <v>153</v>
      </c>
      <c r="E170" s="248"/>
      <c r="F170" s="248"/>
      <c r="G170" s="622"/>
      <c r="H170" s="622"/>
      <c r="I170" s="252"/>
    </row>
    <row r="171" spans="3:10" ht="17.100000000000001" customHeight="1">
      <c r="C171"/>
      <c r="D171" s="135" t="s">
        <v>154</v>
      </c>
      <c r="E171" s="332">
        <f>SUM(G171:H171)</f>
        <v>0</v>
      </c>
      <c r="F171" s="248"/>
      <c r="G171" s="26">
        <f>G169*G170</f>
        <v>0</v>
      </c>
      <c r="H171" s="26">
        <f>H169*H170</f>
        <v>0</v>
      </c>
      <c r="I171" s="252"/>
    </row>
    <row r="172" spans="3:10" ht="17.100000000000001" customHeight="1">
      <c r="C172"/>
      <c r="D172" s="58" t="s">
        <v>155</v>
      </c>
      <c r="E172" s="248"/>
      <c r="F172" s="248"/>
      <c r="G172" s="25">
        <v>0.09</v>
      </c>
      <c r="H172" s="25">
        <v>0.04</v>
      </c>
      <c r="I172" s="252"/>
    </row>
    <row r="173" spans="3:10" ht="17.100000000000001" customHeight="1">
      <c r="C173"/>
      <c r="D173" s="137" t="s">
        <v>156</v>
      </c>
      <c r="E173" s="332">
        <f>SUM(G173:H173)</f>
        <v>0</v>
      </c>
      <c r="F173" s="248"/>
      <c r="G173" s="26">
        <f>G171*G172</f>
        <v>0</v>
      </c>
      <c r="H173" s="26">
        <f>H171*H172</f>
        <v>0</v>
      </c>
      <c r="I173" s="252"/>
    </row>
    <row r="174" spans="3:10" ht="17.100000000000001" customHeight="1">
      <c r="E174" s="1"/>
      <c r="G174" s="10"/>
      <c r="H174" s="10"/>
      <c r="I174" s="10"/>
    </row>
    <row r="175" spans="3:10" ht="17.100000000000001" customHeight="1">
      <c r="G175" s="10"/>
      <c r="H175" s="10"/>
      <c r="I175" s="10"/>
    </row>
    <row r="176" spans="3:10" ht="15">
      <c r="C176"/>
      <c r="G176" s="10"/>
      <c r="H176" s="10"/>
      <c r="I176" s="10"/>
    </row>
    <row r="177" spans="3:9" ht="15.75" customHeight="1">
      <c r="C177"/>
      <c r="D177" s="19"/>
      <c r="E177" s="19"/>
      <c r="F177" s="7"/>
      <c r="G177" s="10"/>
      <c r="H177" s="10"/>
      <c r="I177" s="10"/>
    </row>
    <row r="178" spans="3:9" ht="17.100000000000001" customHeight="1">
      <c r="C178"/>
      <c r="G178" s="10"/>
      <c r="H178" s="10"/>
      <c r="I178" s="10"/>
    </row>
    <row r="179" spans="3:9" ht="17.100000000000001" customHeight="1">
      <c r="C179"/>
      <c r="G179" s="10"/>
      <c r="H179" s="10"/>
      <c r="I179" s="10"/>
    </row>
    <row r="180" spans="3:9" ht="17.100000000000001" customHeight="1">
      <c r="C180"/>
      <c r="G180" s="10"/>
      <c r="H180" s="10"/>
      <c r="I180" s="10"/>
    </row>
    <row r="181" spans="3:9" ht="17.100000000000001" customHeight="1">
      <c r="C181"/>
      <c r="G181" s="10"/>
      <c r="H181" s="10"/>
      <c r="I181" s="10"/>
    </row>
    <row r="182" spans="3:9" ht="17.100000000000001" customHeight="1">
      <c r="G182" s="10"/>
      <c r="H182" s="10"/>
      <c r="I182" s="10"/>
    </row>
    <row r="183" spans="3:9" ht="17.100000000000001" customHeight="1">
      <c r="G183" s="10"/>
      <c r="H183" s="10"/>
      <c r="I183" s="10"/>
    </row>
    <row r="184" spans="3:9" ht="17.100000000000001" customHeight="1">
      <c r="G184" s="10"/>
      <c r="H184" s="10"/>
      <c r="I184" s="10"/>
    </row>
    <row r="185" spans="3:9" ht="17.100000000000001" customHeight="1">
      <c r="G185" s="10"/>
      <c r="H185" s="10"/>
      <c r="I185" s="10"/>
    </row>
    <row r="186" spans="3:9" ht="17.100000000000001" customHeight="1">
      <c r="G186" s="10"/>
      <c r="H186" s="10"/>
      <c r="I186" s="10"/>
    </row>
    <row r="187" spans="3:9" ht="17.100000000000001" customHeight="1">
      <c r="C187"/>
      <c r="D187" s="9"/>
      <c r="E187" s="9"/>
      <c r="G187" s="10"/>
      <c r="H187" s="10"/>
      <c r="I187" s="10"/>
    </row>
    <row r="188" spans="3:9" ht="17.100000000000001" customHeight="1">
      <c r="C188"/>
      <c r="D188" s="9"/>
      <c r="E188" s="9"/>
      <c r="G188" s="10"/>
      <c r="H188" s="10"/>
      <c r="I188" s="10"/>
    </row>
    <row r="189" spans="3:9" ht="17.100000000000001" customHeight="1">
      <c r="G189" s="10"/>
      <c r="H189" s="10"/>
      <c r="I189" s="10"/>
    </row>
    <row r="200" spans="3:7" ht="17.100000000000001" customHeight="1">
      <c r="C200"/>
      <c r="G200" s="10"/>
    </row>
    <row r="201" spans="3:7" ht="17.100000000000001" customHeight="1">
      <c r="C201"/>
      <c r="G201" s="10"/>
    </row>
  </sheetData>
  <mergeCells count="51">
    <mergeCell ref="A43:C43"/>
    <mergeCell ref="A48:C48"/>
    <mergeCell ref="B1:L1"/>
    <mergeCell ref="B2:L2"/>
    <mergeCell ref="L10:L11"/>
    <mergeCell ref="D31:E31"/>
    <mergeCell ref="D15:E15"/>
    <mergeCell ref="D17:E17"/>
    <mergeCell ref="K10:K11"/>
    <mergeCell ref="G44:I44"/>
    <mergeCell ref="G46:I46"/>
    <mergeCell ref="G42:I42"/>
    <mergeCell ref="D37:E37"/>
    <mergeCell ref="D16:E16"/>
    <mergeCell ref="D33:E33"/>
    <mergeCell ref="D12:E12"/>
    <mergeCell ref="J153:K154"/>
    <mergeCell ref="J125:K126"/>
    <mergeCell ref="H4:I4"/>
    <mergeCell ref="F4:G4"/>
    <mergeCell ref="G40:I40"/>
    <mergeCell ref="E5:F5"/>
    <mergeCell ref="E38:E39"/>
    <mergeCell ref="D34:E34"/>
    <mergeCell ref="D20:E20"/>
    <mergeCell ref="D23:E23"/>
    <mergeCell ref="D25:E25"/>
    <mergeCell ref="D19:E19"/>
    <mergeCell ref="D32:E32"/>
    <mergeCell ref="I36:J36"/>
    <mergeCell ref="I37:J37"/>
    <mergeCell ref="G39:I39"/>
    <mergeCell ref="J127:K127"/>
    <mergeCell ref="E55:E57"/>
    <mergeCell ref="G56:G57"/>
    <mergeCell ref="G55:H55"/>
    <mergeCell ref="I55:I57"/>
    <mergeCell ref="F55:F57"/>
    <mergeCell ref="J55:J57"/>
    <mergeCell ref="H56:H57"/>
    <mergeCell ref="N10:N11"/>
    <mergeCell ref="G43:I43"/>
    <mergeCell ref="G48:I48"/>
    <mergeCell ref="G47:I47"/>
    <mergeCell ref="J22:K23"/>
    <mergeCell ref="K32:K33"/>
    <mergeCell ref="D18:E18"/>
    <mergeCell ref="D24:E24"/>
    <mergeCell ref="J24:K29"/>
    <mergeCell ref="G41:I41"/>
    <mergeCell ref="M10:M11"/>
  </mergeCells>
  <phoneticPr fontId="0" type="noConversion"/>
  <conditionalFormatting sqref="D177">
    <cfRule type="expression" dxfId="35" priority="88" stopIfTrue="1">
      <formula>E169&lt;&gt;F288</formula>
    </cfRule>
  </conditionalFormatting>
  <conditionalFormatting sqref="E177">
    <cfRule type="expression" dxfId="34" priority="87" stopIfTrue="1">
      <formula>G169&lt;&gt;G288</formula>
    </cfRule>
  </conditionalFormatting>
  <conditionalFormatting sqref="G55:H57 G60:H62 G66:H69 G71:H77 G79:H86 G88:H91 G94:H94 G98:H109 G111:H117 G119:H121 G123:H129 G131:H133 G135:H152 G154:H157 G159:H159 D160:I173">
    <cfRule type="expression" dxfId="33" priority="1" stopIfTrue="1">
      <formula>$E$6="No"</formula>
    </cfRule>
  </conditionalFormatting>
  <conditionalFormatting sqref="I156">
    <cfRule type="expression" dxfId="32" priority="5" stopIfTrue="1">
      <formula>$O$155=0</formula>
    </cfRule>
    <cfRule type="expression" dxfId="31" priority="6" stopIfTrue="1">
      <formula>"$F$12+$F$13=0"</formula>
    </cfRule>
  </conditionalFormatting>
  <conditionalFormatting sqref="J24:K29">
    <cfRule type="expression" dxfId="30" priority="3" stopIfTrue="1">
      <formula>$F$24=0</formula>
    </cfRule>
    <cfRule type="expression" dxfId="29" priority="4" stopIfTrue="1">
      <formula>"f24=0"</formula>
    </cfRule>
  </conditionalFormatting>
  <dataValidations xWindow="432" yWindow="142" count="7">
    <dataValidation type="list" allowBlank="1" showInputMessage="1" showErrorMessage="1" sqref="B26:B32 B23:B24 B18:B19" xr:uid="{00000000-0002-0000-0500-000003000000}">
      <formula1>"HOME Match, Other KHC Match"</formula1>
    </dataValidation>
    <dataValidation type="list" allowBlank="1" showInputMessage="1" showErrorMessage="1" sqref="E26:E30" xr:uid="{00000000-0002-0000-0500-000004000000}">
      <formula1>"Yes, No"</formula1>
    </dataValidation>
    <dataValidation type="list" allowBlank="1" showInputMessage="1" showErrorMessage="1" sqref="M24:M33 M12:M19" xr:uid="{00000000-0002-0000-0500-000005000000}">
      <formula1>"Secured, Application Pending, Application Not Yet Submitted"</formula1>
    </dataValidation>
    <dataValidation type="whole" allowBlank="1" showErrorMessage="1" error="Only enter years in whole numbers.  " sqref="I12:I19" xr:uid="{00000000-0002-0000-0500-000001000000}">
      <formula1>0</formula1>
      <formula2>50</formula2>
    </dataValidation>
    <dataValidation type="list" showInputMessage="1" showErrorMessage="1" sqref="J12:J19" xr:uid="{00000000-0002-0000-0500-000002000000}">
      <formula1>"First,Second,Third,Fourth,Fifth"</formula1>
    </dataValidation>
    <dataValidation allowBlank="1" showErrorMessage="1" error="Only enter years in whole numbers.  " sqref="O12 O14:O16" xr:uid="{05FD0BC1-4A13-4D2C-A271-777284B0096D}"/>
    <dataValidation type="list" allowBlank="1" showErrorMessage="1" error="Only enter years in whole numbers.  " sqref="N12 N14:N16" xr:uid="{AE5529FB-1744-44DC-A4F5-A3B8AA46ED58}">
      <formula1>"Yes, No"</formula1>
    </dataValidation>
  </dataValidations>
  <printOptions horizontalCentered="1"/>
  <pageMargins left="0.5" right="0.5" top="0.8" bottom="0.8" header="0.25" footer="0.25"/>
  <pageSetup scale="49" fitToHeight="3" orientation="portrait" r:id="rId1"/>
  <headerFooter alignWithMargins="0">
    <oddFooter>&amp;L&amp;10&amp;F
&amp;A&amp;R&amp;10Louisville Metro Government
Page &amp;P of &amp;N</oddFooter>
  </headerFooter>
  <rowBreaks count="2" manualBreakCount="2">
    <brk id="77" max="11" man="1"/>
    <brk id="159" max="11" man="1"/>
  </rowBreaks>
  <ignoredErrors>
    <ignoredError sqref="G34 G36 F49" formula="1"/>
    <ignoredError sqref="E163 K19 K17:K18 K1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CN121"/>
  <sheetViews>
    <sheetView showGridLines="0" topLeftCell="B13" zoomScaleNormal="100" workbookViewId="0">
      <selection activeCell="C93" sqref="C93:D93"/>
    </sheetView>
  </sheetViews>
  <sheetFormatPr defaultColWidth="8.90625" defaultRowHeight="15"/>
  <cols>
    <col min="1" max="1" width="1.453125" style="33" customWidth="1"/>
    <col min="2" max="2" width="13.1796875" style="33" customWidth="1"/>
    <col min="3" max="3" width="17.1796875" customWidth="1"/>
    <col min="4" max="4" width="15.1796875" customWidth="1"/>
    <col min="5" max="5" width="10.54296875" customWidth="1"/>
    <col min="6" max="6" width="14.453125" customWidth="1"/>
    <col min="7" max="7" width="9.81640625" customWidth="1"/>
    <col min="8" max="8" width="10.54296875" customWidth="1"/>
    <col min="9" max="10" width="11.08984375" customWidth="1"/>
    <col min="11" max="11" width="8.453125" style="38" customWidth="1"/>
    <col min="12" max="12" width="9.36328125" style="38" bestFit="1" customWidth="1"/>
    <col min="13" max="13" width="2" style="1048" customWidth="1"/>
    <col min="14" max="14" width="9.453125" style="38" hidden="1" customWidth="1"/>
    <col min="15" max="16" width="8.90625" style="38" hidden="1" customWidth="1"/>
    <col min="17" max="17" width="10.08984375" style="201" hidden="1" customWidth="1"/>
    <col min="18" max="19" width="8.90625" style="100" hidden="1" customWidth="1"/>
    <col min="20" max="20" width="11.81640625" style="100" hidden="1" customWidth="1"/>
    <col min="21" max="21" width="10.6328125" style="100" hidden="1" customWidth="1"/>
    <col min="22" max="22" width="8.90625" style="100" hidden="1" customWidth="1"/>
    <col min="23" max="23" width="11.36328125" style="100" hidden="1" customWidth="1"/>
    <col min="24" max="24" width="7.81640625" style="419" hidden="1" customWidth="1"/>
    <col min="25" max="25" width="5.6328125" style="287" hidden="1" customWidth="1"/>
    <col min="26" max="26" width="12.81640625" style="287" customWidth="1"/>
    <col min="27" max="27" width="12.36328125" style="287" customWidth="1"/>
    <col min="28" max="74" width="8.90625" style="287" customWidth="1"/>
    <col min="75" max="79" width="8.90625" style="38" customWidth="1"/>
    <col min="80" max="81" width="8.90625" style="38"/>
    <col min="82" max="82" width="8.90625" style="100"/>
    <col min="83" max="83" width="5.90625" style="33" bestFit="1" customWidth="1"/>
    <col min="84" max="84" width="26.1796875" style="440" bestFit="1" customWidth="1"/>
    <col min="85" max="85" width="0" style="33" hidden="1" customWidth="1"/>
    <col min="86" max="86" width="0" hidden="1" customWidth="1"/>
  </cols>
  <sheetData>
    <row r="1" spans="1:85" ht="21.75" customHeight="1">
      <c r="A1" s="1363" t="str">
        <f ca="1">name</f>
        <v>RENTAL PRODUCTION APPLICATION</v>
      </c>
      <c r="B1" s="1363"/>
      <c r="C1" s="1363"/>
      <c r="D1" s="1363"/>
      <c r="E1" s="1363"/>
      <c r="F1" s="1363"/>
      <c r="G1" s="1363"/>
      <c r="H1" s="1363"/>
      <c r="I1" s="1363"/>
      <c r="J1" s="1363"/>
      <c r="CD1" s="38"/>
      <c r="CE1"/>
      <c r="CG1"/>
    </row>
    <row r="2" spans="1:85" ht="21.75" customHeight="1">
      <c r="A2" s="1364" t="s">
        <v>229</v>
      </c>
      <c r="B2" s="1364"/>
      <c r="C2" s="1364"/>
      <c r="D2" s="1364"/>
      <c r="E2" s="1364"/>
      <c r="F2" s="1364"/>
      <c r="G2" s="1364"/>
      <c r="H2" s="1364"/>
      <c r="I2" s="1364"/>
      <c r="J2" s="1364"/>
      <c r="CD2" s="38"/>
      <c r="CE2"/>
      <c r="CG2"/>
    </row>
    <row r="3" spans="1:85" ht="22.8">
      <c r="A3" s="512"/>
      <c r="B3" s="512"/>
      <c r="C3" s="371"/>
      <c r="D3" s="371"/>
      <c r="E3" s="371"/>
      <c r="F3" s="371"/>
      <c r="G3" s="371"/>
      <c r="H3" s="371"/>
      <c r="I3" s="371"/>
      <c r="J3" s="371"/>
      <c r="Z3" s="1391"/>
      <c r="AA3" s="1391"/>
      <c r="AB3" s="1391"/>
      <c r="AC3" s="1391"/>
      <c r="AD3" s="1391"/>
      <c r="AE3" s="1391"/>
      <c r="AF3" s="1391"/>
      <c r="CD3" s="38"/>
      <c r="CE3"/>
      <c r="CG3"/>
    </row>
    <row r="4" spans="1:85" ht="21">
      <c r="B4" s="513" t="s">
        <v>66</v>
      </c>
      <c r="D4" s="851"/>
      <c r="E4" s="847"/>
      <c r="F4" s="187"/>
      <c r="Z4" s="1391"/>
      <c r="AA4" s="1391"/>
      <c r="AB4" s="1391"/>
      <c r="AC4" s="1391"/>
      <c r="AD4" s="1391"/>
      <c r="AE4" s="1391"/>
      <c r="AF4" s="1391"/>
      <c r="CF4" s="444" t="s">
        <v>547</v>
      </c>
    </row>
    <row r="5" spans="1:85">
      <c r="Z5" s="38"/>
      <c r="AA5" s="38"/>
      <c r="AB5" s="38"/>
      <c r="AC5" s="38"/>
      <c r="AD5" s="38"/>
      <c r="AE5" s="38"/>
      <c r="AF5" s="38"/>
      <c r="AG5" s="38"/>
      <c r="AH5" s="38"/>
      <c r="CE5" s="34"/>
      <c r="CF5" s="915" t="s">
        <v>370</v>
      </c>
    </row>
    <row r="6" spans="1:85" s="23" customFormat="1" ht="13.8">
      <c r="A6" s="143"/>
      <c r="B6" s="99" t="s">
        <v>314</v>
      </c>
      <c r="G6" s="374" t="s">
        <v>486</v>
      </c>
      <c r="H6" s="281"/>
      <c r="K6" s="65"/>
      <c r="L6" s="65"/>
      <c r="M6" s="1049"/>
      <c r="N6" s="65"/>
      <c r="O6" s="65"/>
      <c r="P6" s="65"/>
      <c r="Q6" s="202"/>
      <c r="R6" s="189"/>
      <c r="S6" s="189"/>
      <c r="T6" s="189"/>
      <c r="U6" s="189"/>
      <c r="V6" s="189"/>
      <c r="W6" s="189"/>
      <c r="X6" s="448"/>
      <c r="Y6" s="285"/>
      <c r="Z6" s="427" t="s">
        <v>528</v>
      </c>
      <c r="AA6" s="430"/>
      <c r="AB6" s="430"/>
      <c r="AC6" s="430"/>
      <c r="AD6" s="430"/>
      <c r="AE6" s="430"/>
      <c r="AF6" s="430"/>
      <c r="AG6" s="430"/>
      <c r="AH6" s="430"/>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5"/>
      <c r="BR6" s="285"/>
      <c r="BS6" s="285"/>
      <c r="BT6" s="285"/>
      <c r="BU6" s="285"/>
      <c r="BV6" s="285"/>
      <c r="BW6" s="65"/>
      <c r="BX6" s="65"/>
      <c r="BY6" s="65"/>
      <c r="BZ6" s="65"/>
      <c r="CA6" s="65"/>
      <c r="CB6" s="65"/>
      <c r="CC6" s="65"/>
      <c r="CD6" s="189"/>
      <c r="CE6" s="73"/>
      <c r="CF6" s="916" t="s">
        <v>371</v>
      </c>
      <c r="CG6" s="143"/>
    </row>
    <row r="7" spans="1:85" s="23" customFormat="1" ht="14.25" customHeight="1">
      <c r="A7" s="143"/>
      <c r="B7" s="514" t="s">
        <v>308</v>
      </c>
      <c r="C7" s="311"/>
      <c r="D7" s="982" t="s">
        <v>311</v>
      </c>
      <c r="E7" s="311"/>
      <c r="G7" s="1367" t="s">
        <v>487</v>
      </c>
      <c r="H7" s="1367"/>
      <c r="I7" s="312"/>
      <c r="K7" s="65"/>
      <c r="L7" s="65"/>
      <c r="M7" s="1049"/>
      <c r="N7" s="65"/>
      <c r="O7" s="65"/>
      <c r="P7" s="65"/>
      <c r="Q7" s="202"/>
      <c r="R7" s="189"/>
      <c r="S7" s="189"/>
      <c r="T7" s="189"/>
      <c r="U7" s="189"/>
      <c r="V7" s="189"/>
      <c r="W7" s="189"/>
      <c r="X7" s="448"/>
      <c r="Y7" s="285"/>
      <c r="Z7" s="1393" t="s">
        <v>744</v>
      </c>
      <c r="AA7" s="1393"/>
      <c r="AB7" s="1393"/>
      <c r="AC7" s="1393"/>
      <c r="AD7" s="1393"/>
      <c r="AE7" s="1393"/>
      <c r="AF7" s="1393"/>
      <c r="AG7" s="493"/>
      <c r="AH7" s="493"/>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c r="BW7" s="65"/>
      <c r="BX7" s="65"/>
      <c r="BY7" s="65"/>
      <c r="BZ7" s="65"/>
      <c r="CA7" s="65"/>
      <c r="CB7" s="65"/>
      <c r="CC7" s="65"/>
      <c r="CD7" s="189"/>
      <c r="CE7" s="73"/>
      <c r="CF7" s="916" t="s">
        <v>63</v>
      </c>
      <c r="CG7" s="143"/>
    </row>
    <row r="8" spans="1:85" s="23" customFormat="1" ht="13.8">
      <c r="A8" s="143"/>
      <c r="B8" s="514" t="s">
        <v>368</v>
      </c>
      <c r="C8" s="310"/>
      <c r="D8" s="982" t="s">
        <v>312</v>
      </c>
      <c r="E8" s="310"/>
      <c r="G8" s="1367" t="s">
        <v>488</v>
      </c>
      <c r="H8" s="1367"/>
      <c r="I8" s="313"/>
      <c r="K8" s="65"/>
      <c r="L8" s="65"/>
      <c r="M8" s="1049"/>
      <c r="N8" s="65"/>
      <c r="O8" s="65"/>
      <c r="P8" s="65"/>
      <c r="Q8" s="202"/>
      <c r="R8" s="189"/>
      <c r="S8" s="189"/>
      <c r="T8" s="189"/>
      <c r="U8" s="189"/>
      <c r="V8" s="189"/>
      <c r="W8" s="189"/>
      <c r="X8" s="448"/>
      <c r="Y8" s="285"/>
      <c r="Z8" s="1393"/>
      <c r="AA8" s="1393"/>
      <c r="AB8" s="1393"/>
      <c r="AC8" s="1393"/>
      <c r="AD8" s="1393"/>
      <c r="AE8" s="1393"/>
      <c r="AF8" s="1393"/>
      <c r="AG8" s="493"/>
      <c r="AH8" s="493"/>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c r="BW8" s="65"/>
      <c r="BX8" s="65"/>
      <c r="BY8" s="65"/>
      <c r="BZ8" s="65"/>
      <c r="CA8" s="65"/>
      <c r="CB8" s="65"/>
      <c r="CC8" s="65"/>
      <c r="CD8" s="189"/>
      <c r="CE8" s="73"/>
      <c r="CF8" s="916" t="s">
        <v>64</v>
      </c>
      <c r="CG8" s="143"/>
    </row>
    <row r="9" spans="1:85" s="23" customFormat="1" ht="13.8">
      <c r="A9" s="143"/>
      <c r="B9" s="514" t="s">
        <v>309</v>
      </c>
      <c r="C9" s="310"/>
      <c r="D9" s="982" t="s">
        <v>541</v>
      </c>
      <c r="E9" s="311"/>
      <c r="K9" s="65"/>
      <c r="L9" s="65"/>
      <c r="M9" s="1049"/>
      <c r="N9" s="65"/>
      <c r="O9" s="65"/>
      <c r="P9" s="65"/>
      <c r="Q9" s="202"/>
      <c r="R9" s="189"/>
      <c r="S9" s="189"/>
      <c r="T9" s="189"/>
      <c r="U9" s="189"/>
      <c r="V9" s="189"/>
      <c r="W9" s="189"/>
      <c r="X9" s="448"/>
      <c r="Y9" s="285"/>
      <c r="Z9" s="1393"/>
      <c r="AA9" s="1393"/>
      <c r="AB9" s="1393"/>
      <c r="AC9" s="1393"/>
      <c r="AD9" s="1393"/>
      <c r="AE9" s="1393"/>
      <c r="AF9" s="1393"/>
      <c r="AG9" s="493"/>
      <c r="AH9" s="493"/>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65"/>
      <c r="BX9" s="65"/>
      <c r="BY9" s="65"/>
      <c r="BZ9" s="65"/>
      <c r="CA9" s="65"/>
      <c r="CB9" s="65"/>
      <c r="CC9" s="65"/>
      <c r="CD9" s="189"/>
      <c r="CE9" s="73"/>
      <c r="CF9" s="916" t="s">
        <v>65</v>
      </c>
      <c r="CG9" s="143"/>
    </row>
    <row r="10" spans="1:85" s="23" customFormat="1">
      <c r="A10" s="143"/>
      <c r="B10" s="514" t="s">
        <v>310</v>
      </c>
      <c r="C10" s="310"/>
      <c r="D10" s="127"/>
      <c r="K10" s="65"/>
      <c r="L10" s="65"/>
      <c r="M10" s="1049"/>
      <c r="N10" s="65"/>
      <c r="O10" s="65"/>
      <c r="P10" s="65"/>
      <c r="Q10" s="202"/>
      <c r="R10" s="189"/>
      <c r="S10" s="189"/>
      <c r="T10" s="189"/>
      <c r="U10" s="189"/>
      <c r="V10" s="189"/>
      <c r="W10" s="189"/>
      <c r="X10" s="448"/>
      <c r="Y10" s="285"/>
      <c r="Z10" s="1393"/>
      <c r="AA10" s="1393"/>
      <c r="AB10" s="1393"/>
      <c r="AC10" s="1393"/>
      <c r="AD10" s="1393"/>
      <c r="AE10" s="1393"/>
      <c r="AF10" s="1393"/>
      <c r="AG10" s="493"/>
      <c r="AH10" s="493"/>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65"/>
      <c r="BX10" s="65"/>
      <c r="BY10" s="65"/>
      <c r="BZ10" s="65"/>
      <c r="CA10" s="65"/>
      <c r="CB10" s="65"/>
      <c r="CC10" s="65"/>
      <c r="CD10" s="189"/>
      <c r="CE10" s="73"/>
      <c r="CF10" s="444" t="s">
        <v>331</v>
      </c>
      <c r="CG10" s="143"/>
    </row>
    <row r="11" spans="1:85" s="38" customFormat="1" ht="12.75" customHeight="1">
      <c r="A11" s="515"/>
      <c r="B11" s="516"/>
      <c r="E11" s="428"/>
      <c r="F11" s="429"/>
      <c r="G11" s="429"/>
      <c r="H11" s="429"/>
      <c r="I11" s="429"/>
      <c r="J11" s="428"/>
      <c r="K11" s="450"/>
      <c r="M11" s="1048"/>
      <c r="Z11" s="1392"/>
      <c r="AA11" s="1392"/>
      <c r="AB11" s="1392"/>
      <c r="AC11" s="1392"/>
      <c r="AD11" s="1392"/>
      <c r="AE11" s="1392"/>
      <c r="AF11" s="1392"/>
      <c r="AG11" s="492"/>
      <c r="AH11" s="492"/>
      <c r="CF11" s="444"/>
    </row>
    <row r="12" spans="1:85" s="38" customFormat="1" ht="15.6">
      <c r="A12" s="515"/>
      <c r="B12" s="765" t="s">
        <v>743</v>
      </c>
      <c r="E12" s="428"/>
      <c r="F12" s="429"/>
      <c r="G12" s="429"/>
      <c r="H12" s="429"/>
      <c r="I12" s="429"/>
      <c r="J12" s="428"/>
      <c r="K12" s="450"/>
      <c r="M12" s="1048"/>
      <c r="Z12" s="1032" t="s">
        <v>160</v>
      </c>
      <c r="AA12" s="1401" t="s">
        <v>742</v>
      </c>
      <c r="AB12" s="1401"/>
      <c r="AC12" s="1400" t="s">
        <v>529</v>
      </c>
      <c r="AD12" s="1400"/>
      <c r="AE12" s="1031"/>
      <c r="AF12" s="439"/>
      <c r="AG12" s="438"/>
      <c r="AH12" s="219"/>
      <c r="CF12" s="496"/>
    </row>
    <row r="13" spans="1:85" s="23" customFormat="1" ht="15" customHeight="1">
      <c r="A13" s="143"/>
      <c r="B13" s="1370" t="s">
        <v>369</v>
      </c>
      <c r="C13" s="62" t="s">
        <v>435</v>
      </c>
      <c r="D13" s="1368" t="s">
        <v>434</v>
      </c>
      <c r="E13" s="1374" t="s">
        <v>315</v>
      </c>
      <c r="F13" s="1374"/>
      <c r="G13" s="1374"/>
      <c r="H13" s="1374"/>
      <c r="I13" s="1374"/>
      <c r="K13" s="65"/>
      <c r="L13" s="65"/>
      <c r="M13" s="1049"/>
      <c r="N13" s="65"/>
      <c r="O13" s="65"/>
      <c r="P13" s="65"/>
      <c r="Q13" s="202"/>
      <c r="R13" s="189"/>
      <c r="S13" s="189"/>
      <c r="T13" s="189"/>
      <c r="U13" s="189"/>
      <c r="V13" s="189"/>
      <c r="W13" s="189"/>
      <c r="X13" s="448"/>
      <c r="Y13" s="285"/>
      <c r="Z13" s="1402" t="s">
        <v>544</v>
      </c>
      <c r="AA13" s="1403"/>
      <c r="AB13" s="1403"/>
      <c r="AC13" s="1403"/>
      <c r="AD13" s="1403"/>
      <c r="AE13" s="1403"/>
      <c r="AF13" s="1404"/>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65"/>
      <c r="BV13" s="65"/>
      <c r="BW13" s="65"/>
      <c r="BX13" s="65"/>
      <c r="BY13" s="65"/>
      <c r="BZ13" s="65"/>
      <c r="CA13" s="65"/>
      <c r="CB13" s="189"/>
      <c r="CC13" s="143"/>
      <c r="CD13" s="269"/>
      <c r="CE13" s="143"/>
      <c r="CF13" s="441"/>
    </row>
    <row r="14" spans="1:85" s="23" customFormat="1" ht="13.8">
      <c r="A14" s="143"/>
      <c r="B14" s="1371"/>
      <c r="C14" s="187" t="s">
        <v>456</v>
      </c>
      <c r="D14" s="1369"/>
      <c r="E14" s="71" t="s">
        <v>143</v>
      </c>
      <c r="F14" s="71" t="s">
        <v>144</v>
      </c>
      <c r="G14" s="71" t="s">
        <v>145</v>
      </c>
      <c r="H14" s="71" t="s">
        <v>146</v>
      </c>
      <c r="I14" s="71" t="s">
        <v>147</v>
      </c>
      <c r="J14" s="144"/>
      <c r="K14" s="65"/>
      <c r="L14" s="65"/>
      <c r="M14" s="1049"/>
      <c r="N14" s="65"/>
      <c r="O14" s="65"/>
      <c r="P14" s="65"/>
      <c r="Q14" s="202"/>
      <c r="R14" s="189"/>
      <c r="S14" s="189"/>
      <c r="T14" s="189"/>
      <c r="U14" s="189"/>
      <c r="V14" s="189"/>
      <c r="W14" s="189"/>
      <c r="X14" s="448"/>
      <c r="Y14" s="285"/>
      <c r="Z14" s="1405"/>
      <c r="AA14" s="1406"/>
      <c r="AB14" s="1406"/>
      <c r="AC14" s="1406"/>
      <c r="AD14" s="1406"/>
      <c r="AE14" s="1406"/>
      <c r="AF14" s="1407"/>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285"/>
      <c r="BU14" s="65"/>
      <c r="BV14" s="65"/>
      <c r="BW14" s="65"/>
      <c r="BX14" s="65"/>
      <c r="BY14" s="65"/>
      <c r="BZ14" s="65"/>
      <c r="CA14" s="65"/>
      <c r="CB14" s="189"/>
      <c r="CC14" s="143"/>
      <c r="CD14" s="269"/>
      <c r="CE14" s="143"/>
      <c r="CF14" s="441"/>
    </row>
    <row r="15" spans="1:85" s="63" customFormat="1" ht="15.75" customHeight="1">
      <c r="A15" s="318"/>
      <c r="B15" s="517" t="s">
        <v>55</v>
      </c>
      <c r="C15" s="1023"/>
      <c r="D15" s="1024"/>
      <c r="E15" s="1025"/>
      <c r="F15" s="1025"/>
      <c r="G15" s="1025"/>
      <c r="H15" s="1025"/>
      <c r="I15" s="1026"/>
      <c r="J15" s="347"/>
      <c r="K15" s="39"/>
      <c r="L15" s="39"/>
      <c r="M15" s="1050"/>
      <c r="N15" s="39"/>
      <c r="O15" s="39"/>
      <c r="P15" s="39"/>
      <c r="Q15" s="317"/>
      <c r="R15" s="37"/>
      <c r="S15" s="37"/>
      <c r="T15" s="37"/>
      <c r="U15" s="37"/>
      <c r="V15" s="37"/>
      <c r="W15" s="37"/>
      <c r="X15" s="380"/>
      <c r="Y15" s="289"/>
      <c r="Z15" s="473"/>
      <c r="AA15" s="474"/>
      <c r="AB15" s="1397" t="s">
        <v>531</v>
      </c>
      <c r="AC15" s="1398"/>
      <c r="AD15" s="1398"/>
      <c r="AE15" s="1398"/>
      <c r="AF15" s="139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39"/>
      <c r="BV15" s="39"/>
      <c r="BW15" s="39"/>
      <c r="BX15" s="39"/>
      <c r="BY15" s="39"/>
      <c r="BZ15" s="39"/>
      <c r="CA15" s="39"/>
      <c r="CB15" s="37"/>
      <c r="CC15" s="318"/>
      <c r="CD15" s="319"/>
      <c r="CE15" s="318"/>
      <c r="CF15" s="442"/>
    </row>
    <row r="16" spans="1:85" s="63" customFormat="1" ht="15.75" customHeight="1">
      <c r="A16" s="318"/>
      <c r="B16" s="517" t="s">
        <v>61</v>
      </c>
      <c r="C16" s="1027" t="s">
        <v>83</v>
      </c>
      <c r="D16" s="1024"/>
      <c r="E16" s="1025"/>
      <c r="F16" s="1025"/>
      <c r="G16" s="1025"/>
      <c r="H16" s="1025"/>
      <c r="I16" s="1026"/>
      <c r="J16" s="347"/>
      <c r="K16" s="39"/>
      <c r="L16" s="39"/>
      <c r="M16" s="1050"/>
      <c r="N16" s="39"/>
      <c r="O16" s="39"/>
      <c r="P16" s="39"/>
      <c r="Q16" s="317"/>
      <c r="R16" s="37"/>
      <c r="S16" s="37"/>
      <c r="T16" s="37"/>
      <c r="U16" s="37"/>
      <c r="V16" s="37"/>
      <c r="W16" s="37"/>
      <c r="X16" s="380"/>
      <c r="Y16" s="289"/>
      <c r="Z16" s="475" t="s">
        <v>532</v>
      </c>
      <c r="AA16" s="476"/>
      <c r="AB16" s="1030" t="s">
        <v>143</v>
      </c>
      <c r="AC16" s="477" t="s">
        <v>144</v>
      </c>
      <c r="AD16" s="1030" t="s">
        <v>145</v>
      </c>
      <c r="AE16" s="1030" t="s">
        <v>146</v>
      </c>
      <c r="AF16" s="431" t="s">
        <v>147</v>
      </c>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c r="BQ16" s="289"/>
      <c r="BR16" s="289"/>
      <c r="BS16" s="289"/>
      <c r="BT16" s="289"/>
      <c r="BU16" s="39"/>
      <c r="BV16" s="39"/>
      <c r="BW16" s="39"/>
      <c r="BX16" s="39"/>
      <c r="BY16" s="39"/>
      <c r="BZ16" s="39"/>
      <c r="CA16" s="39"/>
      <c r="CB16" s="37"/>
      <c r="CC16" s="318"/>
      <c r="CD16" s="319"/>
      <c r="CE16" s="318"/>
      <c r="CF16" s="442"/>
    </row>
    <row r="17" spans="1:84" s="63" customFormat="1" ht="15.75" customHeight="1">
      <c r="A17" s="318"/>
      <c r="B17" s="517" t="s">
        <v>56</v>
      </c>
      <c r="C17" s="1023"/>
      <c r="D17" s="1024"/>
      <c r="E17" s="1025"/>
      <c r="F17" s="1025"/>
      <c r="G17" s="1025"/>
      <c r="H17" s="1025"/>
      <c r="I17" s="1026"/>
      <c r="J17" s="347"/>
      <c r="K17" s="39"/>
      <c r="L17" s="39"/>
      <c r="M17" s="1050"/>
      <c r="N17" s="39"/>
      <c r="O17" s="39"/>
      <c r="P17" s="39"/>
      <c r="Q17" s="317"/>
      <c r="R17" s="37"/>
      <c r="S17" s="37"/>
      <c r="T17" s="37"/>
      <c r="U17" s="37"/>
      <c r="V17" s="37"/>
      <c r="W17" s="37"/>
      <c r="X17" s="380"/>
      <c r="Y17" s="289"/>
      <c r="Z17" s="478" t="s">
        <v>57</v>
      </c>
      <c r="AA17" s="479" t="s">
        <v>533</v>
      </c>
      <c r="AB17" s="1037"/>
      <c r="AC17" s="1037"/>
      <c r="AD17" s="1037"/>
      <c r="AE17" s="1037"/>
      <c r="AF17" s="1038"/>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c r="BO17" s="289"/>
      <c r="BP17" s="289"/>
      <c r="BQ17" s="289"/>
      <c r="BR17" s="289"/>
      <c r="BS17" s="289"/>
      <c r="BT17" s="289"/>
      <c r="BU17" s="39"/>
      <c r="BV17" s="39"/>
      <c r="BW17" s="39"/>
      <c r="BX17" s="39"/>
      <c r="BY17" s="39"/>
      <c r="BZ17" s="39"/>
      <c r="CA17" s="39"/>
      <c r="CB17" s="37"/>
      <c r="CC17" s="318"/>
      <c r="CD17" s="319"/>
      <c r="CE17" s="318"/>
      <c r="CF17" s="442"/>
    </row>
    <row r="18" spans="1:84" s="63" customFormat="1" ht="15.75" customHeight="1">
      <c r="A18" s="318"/>
      <c r="B18" s="517" t="s">
        <v>49</v>
      </c>
      <c r="C18" s="1028"/>
      <c r="D18" s="1024"/>
      <c r="E18" s="1025"/>
      <c r="F18" s="1025"/>
      <c r="G18" s="1025"/>
      <c r="H18" s="1025"/>
      <c r="I18" s="1026"/>
      <c r="J18" s="347"/>
      <c r="K18" s="39"/>
      <c r="L18" s="39"/>
      <c r="M18" s="1050"/>
      <c r="N18" s="39"/>
      <c r="O18" s="39"/>
      <c r="P18" s="39"/>
      <c r="Q18" s="317"/>
      <c r="R18" s="37"/>
      <c r="S18" s="37"/>
      <c r="T18" s="37"/>
      <c r="U18" s="37"/>
      <c r="V18" s="37"/>
      <c r="W18" s="37"/>
      <c r="X18" s="380"/>
      <c r="Y18" s="289"/>
      <c r="Z18" s="480"/>
      <c r="AA18" s="481" t="s">
        <v>534</v>
      </c>
      <c r="AB18" s="1037"/>
      <c r="AC18" s="1037"/>
      <c r="AD18" s="1037"/>
      <c r="AE18" s="1037"/>
      <c r="AF18" s="1038"/>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c r="BG18" s="289"/>
      <c r="BH18" s="289"/>
      <c r="BI18" s="289"/>
      <c r="BJ18" s="289"/>
      <c r="BK18" s="289"/>
      <c r="BL18" s="289"/>
      <c r="BM18" s="289"/>
      <c r="BN18" s="289"/>
      <c r="BO18" s="289"/>
      <c r="BP18" s="289"/>
      <c r="BQ18" s="289"/>
      <c r="BR18" s="289"/>
      <c r="BS18" s="289"/>
      <c r="BT18" s="289"/>
      <c r="BU18" s="39"/>
      <c r="BV18" s="39"/>
      <c r="BW18" s="39"/>
      <c r="BX18" s="39"/>
      <c r="BY18" s="39"/>
      <c r="BZ18" s="39"/>
      <c r="CA18" s="39"/>
      <c r="CB18" s="37"/>
      <c r="CC18" s="318"/>
      <c r="CD18" s="319"/>
      <c r="CE18" s="318"/>
      <c r="CF18" s="442"/>
    </row>
    <row r="19" spans="1:84" s="63" customFormat="1" ht="15.75" customHeight="1">
      <c r="A19" s="318"/>
      <c r="B19" s="517" t="s">
        <v>57</v>
      </c>
      <c r="C19" s="1023"/>
      <c r="D19" s="1024"/>
      <c r="E19" s="1025"/>
      <c r="F19" s="1025"/>
      <c r="G19" s="1025"/>
      <c r="H19" s="1025"/>
      <c r="I19" s="1026"/>
      <c r="J19" s="347"/>
      <c r="K19" s="39"/>
      <c r="L19" s="39"/>
      <c r="M19" s="1050"/>
      <c r="N19" s="39"/>
      <c r="O19" s="39"/>
      <c r="P19" s="39"/>
      <c r="Q19" s="317"/>
      <c r="R19" s="37"/>
      <c r="S19" s="37"/>
      <c r="T19" s="37"/>
      <c r="U19" s="37"/>
      <c r="V19" s="37"/>
      <c r="W19" s="37"/>
      <c r="X19" s="380"/>
      <c r="Y19" s="289"/>
      <c r="Z19" s="480"/>
      <c r="AA19" s="897" t="s">
        <v>688</v>
      </c>
      <c r="AB19" s="1037"/>
      <c r="AC19" s="1038"/>
      <c r="AD19" s="1038"/>
      <c r="AE19" s="1038"/>
      <c r="AF19" s="1038"/>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c r="BG19" s="289"/>
      <c r="BH19" s="289"/>
      <c r="BI19" s="289"/>
      <c r="BJ19" s="289"/>
      <c r="BK19" s="289"/>
      <c r="BL19" s="289"/>
      <c r="BM19" s="289"/>
      <c r="BN19" s="289"/>
      <c r="BO19" s="289"/>
      <c r="BP19" s="289"/>
      <c r="BQ19" s="289"/>
      <c r="BR19" s="289"/>
      <c r="BS19" s="289"/>
      <c r="BT19" s="289"/>
      <c r="BU19" s="39"/>
      <c r="BV19" s="39"/>
      <c r="BW19" s="39"/>
      <c r="BX19" s="39"/>
      <c r="BY19" s="39"/>
      <c r="BZ19" s="39"/>
      <c r="CA19" s="39"/>
      <c r="CB19" s="37"/>
      <c r="CC19" s="318"/>
      <c r="CD19" s="319"/>
      <c r="CE19" s="318"/>
      <c r="CF19" s="442"/>
    </row>
    <row r="20" spans="1:84" s="63" customFormat="1" ht="15.75" customHeight="1">
      <c r="A20" s="318"/>
      <c r="B20" s="517" t="s">
        <v>58</v>
      </c>
      <c r="C20" s="1027" t="s">
        <v>83</v>
      </c>
      <c r="D20" s="1024"/>
      <c r="E20" s="1025"/>
      <c r="F20" s="1025"/>
      <c r="G20" s="1025"/>
      <c r="H20" s="1025"/>
      <c r="I20" s="1026"/>
      <c r="J20" s="347"/>
      <c r="K20" s="39"/>
      <c r="L20" s="39"/>
      <c r="M20" s="1050"/>
      <c r="N20" s="39"/>
      <c r="O20" s="39"/>
      <c r="P20" s="39"/>
      <c r="Q20" s="317"/>
      <c r="R20" s="37"/>
      <c r="S20" s="37"/>
      <c r="T20" s="37"/>
      <c r="U20" s="37"/>
      <c r="V20" s="37"/>
      <c r="W20" s="37"/>
      <c r="X20" s="380"/>
      <c r="Y20" s="289"/>
      <c r="Z20" s="482"/>
      <c r="AA20" s="483" t="s">
        <v>689</v>
      </c>
      <c r="AB20" s="1035"/>
      <c r="AC20" s="1036"/>
      <c r="AD20" s="1036"/>
      <c r="AE20" s="1036"/>
      <c r="AF20" s="1035"/>
      <c r="AG20" s="289"/>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39"/>
      <c r="BV20" s="39"/>
      <c r="BW20" s="39"/>
      <c r="BX20" s="39"/>
      <c r="BY20" s="39"/>
      <c r="BZ20" s="39"/>
      <c r="CA20" s="39"/>
      <c r="CB20" s="37"/>
      <c r="CC20" s="318"/>
      <c r="CD20" s="319"/>
      <c r="CE20" s="318"/>
      <c r="CF20" s="442"/>
    </row>
    <row r="21" spans="1:84" s="63" customFormat="1" ht="15.75" customHeight="1">
      <c r="A21" s="318"/>
      <c r="B21" s="517" t="s">
        <v>50</v>
      </c>
      <c r="C21" s="1028"/>
      <c r="D21" s="1024"/>
      <c r="E21" s="1025"/>
      <c r="F21" s="1025"/>
      <c r="G21" s="1025"/>
      <c r="H21" s="1025"/>
      <c r="I21" s="1026"/>
      <c r="J21" s="347"/>
      <c r="K21" s="39"/>
      <c r="L21" s="39"/>
      <c r="M21" s="1050"/>
      <c r="N21" s="39"/>
      <c r="O21" s="39"/>
      <c r="P21" s="39"/>
      <c r="Q21" s="317"/>
      <c r="R21" s="37"/>
      <c r="S21" s="37"/>
      <c r="T21" s="37"/>
      <c r="U21" s="37"/>
      <c r="V21" s="37"/>
      <c r="W21" s="37"/>
      <c r="X21" s="380"/>
      <c r="Y21" s="289"/>
      <c r="Z21" s="488" t="s">
        <v>55</v>
      </c>
      <c r="AA21" s="481" t="s">
        <v>533</v>
      </c>
      <c r="AB21" s="1037"/>
      <c r="AC21" s="1037"/>
      <c r="AD21" s="1037"/>
      <c r="AE21" s="1037"/>
      <c r="AF21" s="1038"/>
      <c r="AG21" s="289"/>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89"/>
      <c r="BE21" s="289"/>
      <c r="BF21" s="289"/>
      <c r="BG21" s="289"/>
      <c r="BH21" s="289"/>
      <c r="BI21" s="289"/>
      <c r="BJ21" s="289"/>
      <c r="BK21" s="289"/>
      <c r="BL21" s="289"/>
      <c r="BM21" s="289"/>
      <c r="BN21" s="289"/>
      <c r="BO21" s="289"/>
      <c r="BP21" s="289"/>
      <c r="BQ21" s="289"/>
      <c r="BR21" s="289"/>
      <c r="BS21" s="289"/>
      <c r="BT21" s="289"/>
      <c r="BU21" s="39"/>
      <c r="BV21" s="39"/>
      <c r="BW21" s="39"/>
      <c r="BX21" s="39"/>
      <c r="BY21" s="39"/>
      <c r="BZ21" s="39"/>
      <c r="CA21" s="39"/>
      <c r="CB21" s="37"/>
      <c r="CC21" s="318"/>
      <c r="CD21" s="319"/>
      <c r="CE21" s="318"/>
      <c r="CF21" s="442"/>
    </row>
    <row r="22" spans="1:84" s="63" customFormat="1" ht="15.75" customHeight="1">
      <c r="A22" s="318"/>
      <c r="B22" s="517" t="s">
        <v>62</v>
      </c>
      <c r="C22" s="1028"/>
      <c r="D22" s="1024"/>
      <c r="E22" s="1025"/>
      <c r="F22" s="1025"/>
      <c r="G22" s="1025"/>
      <c r="H22" s="1025"/>
      <c r="I22" s="1026"/>
      <c r="J22" s="347"/>
      <c r="K22" s="39"/>
      <c r="L22" s="39"/>
      <c r="M22" s="1050"/>
      <c r="N22" s="39"/>
      <c r="O22" s="39"/>
      <c r="P22" s="39"/>
      <c r="Q22" s="317"/>
      <c r="R22" s="37"/>
      <c r="S22" s="37"/>
      <c r="T22" s="37"/>
      <c r="U22" s="37"/>
      <c r="V22" s="37"/>
      <c r="W22" s="37"/>
      <c r="X22" s="380"/>
      <c r="Y22" s="289"/>
      <c r="Z22" s="484"/>
      <c r="AA22" s="481" t="s">
        <v>688</v>
      </c>
      <c r="AB22" s="1033"/>
      <c r="AC22" s="1033"/>
      <c r="AD22" s="1033"/>
      <c r="AE22" s="1033"/>
      <c r="AF22" s="1034"/>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c r="BO22" s="289"/>
      <c r="BP22" s="289"/>
      <c r="BQ22" s="289"/>
      <c r="BR22" s="289"/>
      <c r="BS22" s="289"/>
      <c r="BT22" s="289"/>
      <c r="BU22" s="39"/>
      <c r="BV22" s="39"/>
      <c r="BW22" s="39"/>
      <c r="BX22" s="39"/>
      <c r="BY22" s="39"/>
      <c r="BZ22" s="39"/>
      <c r="CA22" s="39"/>
      <c r="CB22" s="37"/>
      <c r="CC22" s="318"/>
      <c r="CD22" s="319"/>
      <c r="CE22" s="318"/>
      <c r="CF22" s="442"/>
    </row>
    <row r="23" spans="1:84" s="98" customFormat="1" ht="15.75" customHeight="1">
      <c r="A23" s="99"/>
      <c r="B23" s="518" t="s">
        <v>59</v>
      </c>
      <c r="C23" s="101"/>
      <c r="D23" s="101"/>
      <c r="E23" s="188">
        <f>SUM(E15:E22)</f>
        <v>0</v>
      </c>
      <c r="F23" s="188">
        <f>SUM(F15:F22)</f>
        <v>0</v>
      </c>
      <c r="G23" s="188">
        <f>SUM(G15:G22)</f>
        <v>0</v>
      </c>
      <c r="H23" s="188">
        <f>SUM(H15:H22)</f>
        <v>0</v>
      </c>
      <c r="I23" s="188">
        <f>SUM(I15:I22)</f>
        <v>0</v>
      </c>
      <c r="J23" s="186"/>
      <c r="K23" s="101"/>
      <c r="L23" s="101"/>
      <c r="M23" s="1051"/>
      <c r="N23" s="101"/>
      <c r="O23" s="101"/>
      <c r="P23" s="101"/>
      <c r="Q23" s="203"/>
      <c r="R23" s="453"/>
      <c r="S23" s="453"/>
      <c r="T23" s="453"/>
      <c r="U23" s="453"/>
      <c r="V23" s="453"/>
      <c r="W23" s="453"/>
      <c r="X23" s="454"/>
      <c r="Y23" s="455"/>
      <c r="Z23" s="485" t="s">
        <v>535</v>
      </c>
      <c r="AA23" s="486"/>
      <c r="AB23" s="1037"/>
      <c r="AC23" s="1037"/>
      <c r="AD23" s="1037"/>
      <c r="AE23" s="1037"/>
      <c r="AF23" s="1038"/>
      <c r="AG23" s="455"/>
      <c r="AH23" s="455"/>
      <c r="AI23" s="455"/>
      <c r="AJ23" s="455"/>
      <c r="AK23" s="455"/>
      <c r="AL23" s="455"/>
      <c r="AM23" s="455"/>
      <c r="AN23" s="455"/>
      <c r="AO23" s="455"/>
      <c r="AP23" s="455"/>
      <c r="AQ23" s="455"/>
      <c r="AR23" s="455"/>
      <c r="AS23" s="455"/>
      <c r="AT23" s="455"/>
      <c r="AU23" s="455"/>
      <c r="AV23" s="455"/>
      <c r="AW23" s="455"/>
      <c r="AX23" s="455"/>
      <c r="AY23" s="455"/>
      <c r="AZ23" s="455"/>
      <c r="BA23" s="455"/>
      <c r="BB23" s="455"/>
      <c r="BC23" s="455"/>
      <c r="BD23" s="455"/>
      <c r="BE23" s="455"/>
      <c r="BF23" s="455"/>
      <c r="BG23" s="455"/>
      <c r="BH23" s="455"/>
      <c r="BI23" s="455"/>
      <c r="BJ23" s="455"/>
      <c r="BK23" s="455"/>
      <c r="BL23" s="455"/>
      <c r="BM23" s="455"/>
      <c r="BN23" s="455"/>
      <c r="BO23" s="455"/>
      <c r="BP23" s="455"/>
      <c r="BQ23" s="455"/>
      <c r="BR23" s="455"/>
      <c r="BS23" s="455"/>
      <c r="BT23" s="455"/>
      <c r="BU23" s="101"/>
      <c r="BV23" s="101"/>
      <c r="BW23" s="101"/>
      <c r="BX23" s="101"/>
      <c r="BY23" s="101"/>
      <c r="BZ23" s="101"/>
      <c r="CA23" s="101"/>
      <c r="CB23" s="101"/>
      <c r="CD23" s="270"/>
      <c r="CF23" s="443"/>
    </row>
    <row r="24" spans="1:84" s="23" customFormat="1" ht="13.8">
      <c r="A24" s="143"/>
      <c r="B24" s="143"/>
      <c r="K24" s="65"/>
      <c r="L24" s="65"/>
      <c r="M24" s="1049"/>
      <c r="N24" s="65"/>
      <c r="O24" s="65"/>
      <c r="P24" s="65"/>
      <c r="Q24" s="202"/>
      <c r="R24" s="189"/>
      <c r="S24" s="189"/>
      <c r="T24" s="189"/>
      <c r="U24" s="189"/>
      <c r="V24" s="189"/>
      <c r="W24" s="189"/>
      <c r="X24" s="448"/>
      <c r="Y24" s="285"/>
      <c r="Z24" s="485" t="s">
        <v>58</v>
      </c>
      <c r="AA24" s="486"/>
      <c r="AB24" s="1037"/>
      <c r="AC24" s="1037"/>
      <c r="AD24" s="1037"/>
      <c r="AE24" s="1037"/>
      <c r="AF24" s="1038"/>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65"/>
      <c r="BV24" s="65"/>
      <c r="BW24" s="65"/>
      <c r="BX24" s="65"/>
      <c r="BY24" s="65"/>
      <c r="BZ24" s="65"/>
      <c r="CA24" s="65"/>
      <c r="CB24" s="189"/>
      <c r="CC24" s="143"/>
      <c r="CD24" s="269"/>
      <c r="CE24" s="143"/>
      <c r="CF24" s="441"/>
    </row>
    <row r="25" spans="1:84" s="38" customFormat="1">
      <c r="A25" s="100"/>
      <c r="B25" s="1375" t="s">
        <v>520</v>
      </c>
      <c r="D25" s="1247" t="s">
        <v>538</v>
      </c>
      <c r="E25" s="1247"/>
      <c r="F25" s="1247"/>
      <c r="G25" s="1378" t="s">
        <v>539</v>
      </c>
      <c r="H25" s="1378"/>
      <c r="I25" s="1378"/>
      <c r="J25" s="428"/>
      <c r="K25" s="451"/>
      <c r="M25" s="1048"/>
      <c r="Z25" s="478" t="s">
        <v>536</v>
      </c>
      <c r="AA25" s="487" t="s">
        <v>533</v>
      </c>
      <c r="AB25" s="1037"/>
      <c r="AC25" s="1037"/>
      <c r="AD25" s="1037"/>
      <c r="AE25" s="1037"/>
      <c r="AF25" s="1038"/>
      <c r="CF25" s="444"/>
    </row>
    <row r="26" spans="1:84" s="74" customFormat="1" ht="13.5" customHeight="1">
      <c r="A26" s="100"/>
      <c r="B26" s="1375"/>
      <c r="D26" s="1376" t="s">
        <v>542</v>
      </c>
      <c r="E26" s="1376"/>
      <c r="F26" s="1376"/>
      <c r="G26" s="1372" t="s">
        <v>543</v>
      </c>
      <c r="H26" s="1372"/>
      <c r="I26" s="1372"/>
      <c r="J26" s="472"/>
      <c r="K26" s="451"/>
      <c r="M26" s="1052"/>
      <c r="Z26" s="475"/>
      <c r="AA26" s="489" t="s">
        <v>688</v>
      </c>
      <c r="AB26" s="1036"/>
      <c r="AC26" s="1036"/>
      <c r="AD26" s="1036"/>
      <c r="AE26" s="1036"/>
      <c r="AF26" s="1035"/>
      <c r="CF26" s="444"/>
    </row>
    <row r="27" spans="1:84" s="38" customFormat="1">
      <c r="A27" s="519"/>
      <c r="B27" s="519"/>
      <c r="D27" s="469" t="s">
        <v>521</v>
      </c>
      <c r="E27" s="471" t="s">
        <v>522</v>
      </c>
      <c r="F27" s="470" t="s">
        <v>540</v>
      </c>
      <c r="G27" s="603" t="s">
        <v>521</v>
      </c>
      <c r="H27" s="604" t="s">
        <v>522</v>
      </c>
      <c r="I27" s="605" t="s">
        <v>540</v>
      </c>
      <c r="K27" s="104"/>
      <c r="L27" s="456"/>
      <c r="M27" s="1048"/>
      <c r="Z27" s="488" t="s">
        <v>49</v>
      </c>
      <c r="AA27" s="282"/>
      <c r="AB27" s="1033"/>
      <c r="AC27" s="1033"/>
      <c r="AD27" s="1033"/>
      <c r="AE27" s="1033"/>
      <c r="AF27" s="1034"/>
      <c r="CF27" s="444"/>
    </row>
    <row r="28" spans="1:84" s="38" customFormat="1">
      <c r="A28" s="100"/>
      <c r="B28" s="100"/>
      <c r="C28" s="452" t="s">
        <v>523</v>
      </c>
      <c r="D28" s="580">
        <f>'0)UnderwritingCriteria'!B40</f>
        <v>843</v>
      </c>
      <c r="E28" s="580">
        <f>'0)UnderwritingCriteria'!C40</f>
        <v>976</v>
      </c>
      <c r="F28" s="580">
        <f>'0)UnderwritingCriteria'!D40</f>
        <v>976</v>
      </c>
      <c r="G28" s="598">
        <f>D28-$E$23</f>
        <v>843</v>
      </c>
      <c r="H28" s="599">
        <f>E28-$E$23</f>
        <v>976</v>
      </c>
      <c r="I28" s="599">
        <f>F28-$E$23</f>
        <v>976</v>
      </c>
      <c r="K28" s="450"/>
      <c r="L28" s="456"/>
      <c r="M28" s="1048"/>
      <c r="Z28" s="485" t="s">
        <v>50</v>
      </c>
      <c r="AA28" s="490"/>
      <c r="AB28" s="1037"/>
      <c r="AC28" s="1037"/>
      <c r="AD28" s="1037"/>
      <c r="AE28" s="1037"/>
      <c r="AF28" s="1038"/>
      <c r="CF28" s="444"/>
    </row>
    <row r="29" spans="1:84" s="38" customFormat="1">
      <c r="A29" s="100"/>
      <c r="B29" s="100"/>
      <c r="C29" s="452" t="s">
        <v>524</v>
      </c>
      <c r="D29" s="580">
        <f>'0)UnderwritingCriteria'!B41</f>
        <v>904</v>
      </c>
      <c r="E29" s="580">
        <f>'0)UnderwritingCriteria'!C41</f>
        <v>1077</v>
      </c>
      <c r="F29" s="580">
        <f>'0)UnderwritingCriteria'!D41</f>
        <v>1077</v>
      </c>
      <c r="G29" s="598">
        <f>D29-$F$23</f>
        <v>904</v>
      </c>
      <c r="H29" s="600">
        <f>E29-$F$23</f>
        <v>1077</v>
      </c>
      <c r="I29" s="600">
        <f>F29-$F$23</f>
        <v>1077</v>
      </c>
      <c r="K29" s="450"/>
      <c r="L29" s="451"/>
      <c r="M29" s="1048"/>
      <c r="Z29" s="485" t="s">
        <v>537</v>
      </c>
      <c r="AA29" s="490"/>
      <c r="AB29" s="1037"/>
      <c r="AC29" s="1037"/>
      <c r="AD29" s="1037"/>
      <c r="AE29" s="1037"/>
      <c r="AF29" s="1038"/>
      <c r="CF29" s="444"/>
    </row>
    <row r="30" spans="1:84" s="38" customFormat="1">
      <c r="A30" s="100"/>
      <c r="B30" s="100"/>
      <c r="C30" s="452" t="s">
        <v>525</v>
      </c>
      <c r="D30" s="580">
        <f>'0)UnderwritingCriteria'!B42</f>
        <v>1085</v>
      </c>
      <c r="E30" s="580">
        <f>'0)UnderwritingCriteria'!C42</f>
        <v>1301</v>
      </c>
      <c r="F30" s="580">
        <f>'0)UnderwritingCriteria'!D42</f>
        <v>1301</v>
      </c>
      <c r="G30" s="598">
        <f>D30-$G$23</f>
        <v>1085</v>
      </c>
      <c r="H30" s="600">
        <f>E30-$G$23</f>
        <v>1301</v>
      </c>
      <c r="I30" s="600">
        <f>F30-$G$23</f>
        <v>1301</v>
      </c>
      <c r="K30" s="450"/>
      <c r="L30" s="451"/>
      <c r="M30" s="1048"/>
      <c r="Z30" s="475" t="s">
        <v>368</v>
      </c>
      <c r="AA30" s="476"/>
      <c r="AB30" s="1036"/>
      <c r="AC30" s="1036"/>
      <c r="AD30" s="1036"/>
      <c r="AE30" s="1036"/>
      <c r="AF30" s="1035"/>
      <c r="CF30" s="444"/>
    </row>
    <row r="31" spans="1:84" s="38" customFormat="1">
      <c r="A31" s="100"/>
      <c r="B31" s="100"/>
      <c r="C31" s="452" t="s">
        <v>526</v>
      </c>
      <c r="D31" s="580">
        <f>'0)UnderwritingCriteria'!B43</f>
        <v>1253</v>
      </c>
      <c r="E31" s="580">
        <f>'0)UnderwritingCriteria'!C43</f>
        <v>1595</v>
      </c>
      <c r="F31" s="580">
        <f>'0)UnderwritingCriteria'!D43</f>
        <v>1701</v>
      </c>
      <c r="G31" s="598">
        <f>D31-$H$23</f>
        <v>1253</v>
      </c>
      <c r="H31" s="600">
        <f>E31-$H$23</f>
        <v>1595</v>
      </c>
      <c r="I31" s="600">
        <f>F31-$H$23</f>
        <v>1701</v>
      </c>
      <c r="K31" s="450"/>
      <c r="L31" s="451"/>
      <c r="M31" s="1048"/>
      <c r="Z31" s="430"/>
      <c r="AA31" s="282"/>
      <c r="AB31" s="491"/>
      <c r="AC31" s="491"/>
      <c r="AD31" s="491"/>
      <c r="AE31" s="491"/>
      <c r="AF31" s="491"/>
      <c r="CF31" s="444"/>
    </row>
    <row r="32" spans="1:84" s="38" customFormat="1">
      <c r="A32" s="100"/>
      <c r="B32" s="100"/>
      <c r="C32" s="452" t="s">
        <v>527</v>
      </c>
      <c r="D32" s="580">
        <f>'0)UnderwritingCriteria'!B44</f>
        <v>1398</v>
      </c>
      <c r="E32" s="580">
        <f>'0)UnderwritingCriteria'!C44</f>
        <v>1760</v>
      </c>
      <c r="F32" s="581">
        <f>'0)UnderwritingCriteria'!D44</f>
        <v>1955</v>
      </c>
      <c r="G32" s="601">
        <f>D32-$I$23</f>
        <v>1398</v>
      </c>
      <c r="H32" s="602">
        <f>E32-$I$23</f>
        <v>1760</v>
      </c>
      <c r="I32" s="602">
        <f>F32-$I$23</f>
        <v>1955</v>
      </c>
      <c r="K32" s="450"/>
      <c r="L32" s="451"/>
      <c r="M32" s="1048"/>
      <c r="Z32" s="1394" t="s">
        <v>530</v>
      </c>
      <c r="AA32" s="1395"/>
      <c r="AB32" s="1395"/>
      <c r="AC32" s="1395"/>
      <c r="AD32" s="1395"/>
      <c r="AE32" s="1395"/>
      <c r="AF32" s="1396"/>
      <c r="AG32" s="491"/>
      <c r="AH32" s="491"/>
      <c r="CF32" s="444"/>
    </row>
    <row r="33" spans="1:84" s="38" customFormat="1" ht="15" customHeight="1">
      <c r="A33" s="100"/>
      <c r="B33" s="100"/>
      <c r="D33" s="1377" t="s">
        <v>546</v>
      </c>
      <c r="E33" s="1377"/>
      <c r="F33" s="1047" t="str">
        <f>'0)UnderwritingCriteria'!D45</f>
        <v>6/1/2024</v>
      </c>
      <c r="K33" s="450"/>
      <c r="L33" s="451"/>
      <c r="M33" s="1048"/>
      <c r="Z33" s="473"/>
      <c r="AA33" s="474"/>
      <c r="AB33" s="1397" t="s">
        <v>531</v>
      </c>
      <c r="AC33" s="1398"/>
      <c r="AD33" s="1398"/>
      <c r="AE33" s="1398"/>
      <c r="AF33" s="1399"/>
      <c r="AG33" s="282"/>
      <c r="AH33" s="282"/>
      <c r="CF33" s="444"/>
    </row>
    <row r="34" spans="1:84" s="23" customFormat="1" ht="14.25" customHeight="1">
      <c r="A34" s="143"/>
      <c r="B34" s="143"/>
      <c r="K34" s="65"/>
      <c r="L34" s="65"/>
      <c r="M34" s="1049"/>
      <c r="N34" s="140"/>
      <c r="O34" s="65"/>
      <c r="P34" s="65"/>
      <c r="Q34" s="202"/>
      <c r="R34" s="189"/>
      <c r="S34" s="189"/>
      <c r="T34" s="189"/>
      <c r="U34" s="189"/>
      <c r="V34" s="189"/>
      <c r="W34" s="189"/>
      <c r="X34" s="448"/>
      <c r="Y34" s="285"/>
      <c r="Z34" s="475" t="s">
        <v>532</v>
      </c>
      <c r="AA34" s="476"/>
      <c r="AB34" s="1030" t="s">
        <v>143</v>
      </c>
      <c r="AC34" s="477" t="s">
        <v>144</v>
      </c>
      <c r="AD34" s="1030" t="s">
        <v>145</v>
      </c>
      <c r="AE34" s="1030" t="s">
        <v>146</v>
      </c>
      <c r="AF34" s="431" t="s">
        <v>147</v>
      </c>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65"/>
      <c r="BO34" s="65"/>
      <c r="BP34" s="65"/>
      <c r="BQ34" s="65"/>
      <c r="BR34" s="65"/>
      <c r="BS34" s="65"/>
      <c r="BT34" s="65"/>
      <c r="BU34" s="189"/>
      <c r="BV34" s="143"/>
      <c r="BW34" s="269"/>
      <c r="BX34" s="143"/>
      <c r="BY34" s="143"/>
      <c r="BZ34" s="143"/>
      <c r="CF34" s="441"/>
    </row>
    <row r="35" spans="1:84" s="23" customFormat="1" ht="19.5" customHeight="1">
      <c r="A35" s="143"/>
      <c r="B35" s="513" t="s">
        <v>326</v>
      </c>
      <c r="K35" s="65"/>
      <c r="L35" s="65"/>
      <c r="M35" s="1049"/>
      <c r="N35" s="140"/>
      <c r="O35" s="65"/>
      <c r="P35" s="65"/>
      <c r="Q35" s="202"/>
      <c r="R35" s="189"/>
      <c r="S35" s="189"/>
      <c r="T35" s="189"/>
      <c r="U35" s="189"/>
      <c r="V35" s="189"/>
      <c r="W35" s="189"/>
      <c r="X35" s="448"/>
      <c r="Y35" s="285"/>
      <c r="Z35" s="478" t="s">
        <v>57</v>
      </c>
      <c r="AA35" s="479" t="s">
        <v>533</v>
      </c>
      <c r="AB35" s="1043"/>
      <c r="AC35" s="1043"/>
      <c r="AD35" s="1043"/>
      <c r="AE35" s="1043"/>
      <c r="AF35" s="1044"/>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65"/>
      <c r="BO35" s="65"/>
      <c r="BP35" s="65"/>
      <c r="BQ35" s="65"/>
      <c r="BR35" s="65"/>
      <c r="BS35" s="65"/>
      <c r="BT35" s="65"/>
      <c r="BU35" s="189"/>
      <c r="BV35" s="143"/>
      <c r="BW35" s="269"/>
      <c r="BX35" s="143"/>
      <c r="BY35" s="143"/>
      <c r="BZ35" s="143"/>
      <c r="CF35" s="441"/>
    </row>
    <row r="36" spans="1:84" s="23" customFormat="1" ht="16.5" customHeight="1">
      <c r="A36" s="143"/>
      <c r="B36" s="143"/>
      <c r="D36" s="104"/>
      <c r="E36" s="104" t="s">
        <v>630</v>
      </c>
      <c r="F36" s="349" t="s">
        <v>632</v>
      </c>
      <c r="G36" s="349"/>
      <c r="H36" s="39"/>
      <c r="I36" s="39"/>
      <c r="J36" s="39"/>
      <c r="K36" s="39"/>
      <c r="L36" s="39"/>
      <c r="M36" s="1050"/>
      <c r="N36" s="39"/>
      <c r="O36" s="65"/>
      <c r="P36" s="65"/>
      <c r="Q36" s="204"/>
      <c r="R36" s="200"/>
      <c r="S36" s="189"/>
      <c r="T36" s="200"/>
      <c r="U36" s="200"/>
      <c r="V36" s="200"/>
      <c r="W36" s="200"/>
      <c r="X36" s="449"/>
      <c r="Y36" s="286"/>
      <c r="Z36" s="480"/>
      <c r="AA36" s="481" t="s">
        <v>534</v>
      </c>
      <c r="AB36" s="1043"/>
      <c r="AC36" s="1043"/>
      <c r="AD36" s="1043"/>
      <c r="AE36" s="1043"/>
      <c r="AF36" s="1044"/>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140"/>
      <c r="BO36" s="140"/>
      <c r="BP36" s="140"/>
      <c r="BQ36" s="140"/>
      <c r="BR36" s="140"/>
      <c r="BS36" s="140"/>
      <c r="BT36" s="140"/>
      <c r="BU36" s="65"/>
      <c r="BV36" s="65"/>
      <c r="BW36" s="269"/>
      <c r="BX36" s="145"/>
      <c r="BY36" s="143"/>
      <c r="BZ36" s="143"/>
      <c r="CA36" s="143"/>
      <c r="CB36" s="143"/>
      <c r="CF36" s="441"/>
    </row>
    <row r="37" spans="1:84" s="23" customFormat="1" ht="13.8">
      <c r="A37" s="143"/>
      <c r="B37" s="143"/>
      <c r="C37" s="682" t="s">
        <v>631</v>
      </c>
      <c r="D37" s="683"/>
      <c r="E37" s="684" t="e">
        <f>'6)Compliance Checks'!D44</f>
        <v>#DIV/0!</v>
      </c>
      <c r="F37" s="685" t="e">
        <f>ROUNDUP('6)Compliance Checks'!D45,0)</f>
        <v>#DIV/0!</v>
      </c>
      <c r="G37" s="686"/>
      <c r="M37" s="1049"/>
      <c r="N37" s="65"/>
      <c r="O37" s="65"/>
      <c r="P37" s="65"/>
      <c r="Q37" s="204"/>
      <c r="R37" s="200"/>
      <c r="S37" s="189"/>
      <c r="T37" s="200"/>
      <c r="U37" s="200"/>
      <c r="V37" s="200"/>
      <c r="W37" s="200"/>
      <c r="X37" s="449"/>
      <c r="Y37" s="286"/>
      <c r="Z37" s="480"/>
      <c r="AA37" s="897" t="s">
        <v>688</v>
      </c>
      <c r="AB37" s="1043"/>
      <c r="AC37" s="1044"/>
      <c r="AD37" s="1044"/>
      <c r="AE37" s="1044"/>
      <c r="AF37" s="1044"/>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140"/>
      <c r="BO37" s="140"/>
      <c r="BP37" s="140"/>
      <c r="BQ37" s="140"/>
      <c r="BR37" s="140"/>
      <c r="BS37" s="140"/>
      <c r="BT37" s="140"/>
      <c r="BU37" s="65"/>
      <c r="BV37" s="65"/>
      <c r="BW37" s="269"/>
      <c r="BX37" s="143"/>
      <c r="BY37" s="143"/>
      <c r="BZ37" s="143"/>
      <c r="CA37" s="143"/>
      <c r="CB37" s="143"/>
      <c r="CF37" s="441"/>
    </row>
    <row r="38" spans="1:84" s="23" customFormat="1" ht="15" customHeight="1">
      <c r="A38" s="143"/>
      <c r="B38" s="143"/>
      <c r="C38" s="1365" t="s">
        <v>633</v>
      </c>
      <c r="D38" s="1365"/>
      <c r="E38" s="688">
        <f>SUM(B40:B44)+SUM(B47:B51)+SUM(B54:B58)+SUM(B61:B65)+SUM(B68:B72)</f>
        <v>0</v>
      </c>
      <c r="F38" s="688">
        <f>SUM(A40:A44)+SUM(A47:A51)+SUM(A54:A58)+SUM(A61:A65)+SUM(A68:A72)</f>
        <v>0</v>
      </c>
      <c r="G38" s="1373" t="e">
        <f>IF(E38&gt;=E37,"","Too Few HOME Units")</f>
        <v>#DIV/0!</v>
      </c>
      <c r="H38" s="1373"/>
      <c r="I38" s="1373"/>
      <c r="L38" s="687"/>
      <c r="M38" s="1049"/>
      <c r="N38" s="65"/>
      <c r="O38" s="65"/>
      <c r="P38" s="65"/>
      <c r="Q38" s="204"/>
      <c r="R38" s="200"/>
      <c r="S38" s="189"/>
      <c r="T38" s="200"/>
      <c r="U38" s="200"/>
      <c r="V38" s="200"/>
      <c r="W38" s="200"/>
      <c r="X38" s="449"/>
      <c r="Y38" s="286"/>
      <c r="Z38" s="482"/>
      <c r="AA38" s="483" t="s">
        <v>689</v>
      </c>
      <c r="AB38" s="1041"/>
      <c r="AC38" s="1042"/>
      <c r="AD38" s="1042"/>
      <c r="AE38" s="1042"/>
      <c r="AF38" s="1041"/>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140"/>
      <c r="BO38" s="140"/>
      <c r="BP38" s="140"/>
      <c r="BQ38" s="140"/>
      <c r="BR38" s="140"/>
      <c r="BS38" s="140"/>
      <c r="BT38" s="140"/>
      <c r="BU38" s="65"/>
      <c r="BV38" s="65"/>
      <c r="BW38" s="269"/>
      <c r="BX38" s="143"/>
      <c r="BY38" s="143"/>
      <c r="BZ38" s="143"/>
      <c r="CA38" s="143"/>
      <c r="CB38" s="143"/>
      <c r="CF38" s="441"/>
    </row>
    <row r="39" spans="1:84" s="23" customFormat="1" ht="49.8">
      <c r="A39" s="143"/>
      <c r="B39" s="521" t="s">
        <v>208</v>
      </c>
      <c r="C39" s="190" t="s">
        <v>194</v>
      </c>
      <c r="D39" s="191" t="s">
        <v>324</v>
      </c>
      <c r="E39" s="191" t="s">
        <v>330</v>
      </c>
      <c r="F39" s="194" t="s">
        <v>429</v>
      </c>
      <c r="G39" s="191" t="s">
        <v>325</v>
      </c>
      <c r="H39" s="190" t="s">
        <v>431</v>
      </c>
      <c r="I39" s="191" t="s">
        <v>219</v>
      </c>
      <c r="J39" s="191" t="s">
        <v>332</v>
      </c>
      <c r="K39" s="426" t="s">
        <v>195</v>
      </c>
      <c r="L39" s="426" t="s">
        <v>196</v>
      </c>
      <c r="M39" s="1053"/>
      <c r="N39" s="426" t="s">
        <v>214</v>
      </c>
      <c r="O39" s="457" t="s">
        <v>197</v>
      </c>
      <c r="P39" s="457" t="s">
        <v>334</v>
      </c>
      <c r="Q39" s="457" t="s">
        <v>335</v>
      </c>
      <c r="R39" s="200"/>
      <c r="S39" s="207">
        <v>0.3</v>
      </c>
      <c r="T39" s="207">
        <v>0.5</v>
      </c>
      <c r="U39" s="207">
        <v>0.6</v>
      </c>
      <c r="V39" s="207">
        <v>0.8</v>
      </c>
      <c r="W39" s="200" t="s">
        <v>337</v>
      </c>
      <c r="X39" s="458" t="s">
        <v>545</v>
      </c>
      <c r="Y39" s="286"/>
      <c r="Z39" s="488" t="s">
        <v>55</v>
      </c>
      <c r="AA39" s="481" t="s">
        <v>533</v>
      </c>
      <c r="AB39" s="1043"/>
      <c r="AC39" s="1043"/>
      <c r="AD39" s="1043"/>
      <c r="AE39" s="1043"/>
      <c r="AF39" s="1044"/>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140"/>
      <c r="BO39" s="140"/>
      <c r="BP39" s="140"/>
      <c r="BQ39" s="140"/>
      <c r="BR39" s="140"/>
      <c r="BS39" s="140"/>
      <c r="BT39" s="65"/>
      <c r="BU39" s="65"/>
      <c r="BV39" s="143"/>
      <c r="BW39" s="269"/>
      <c r="BX39" s="143"/>
      <c r="BY39" s="143"/>
      <c r="BZ39" s="143"/>
      <c r="CA39" s="143"/>
      <c r="CF39" s="441"/>
    </row>
    <row r="40" spans="1:84" s="23" customFormat="1" ht="13.8">
      <c r="A40" s="269">
        <f>IF(D40="Low HOME Rents",C40,0)</f>
        <v>0</v>
      </c>
      <c r="B40" s="575">
        <f>IF(D40="High HOME Rents",C40,IF(D40="Low HOME Rents",C40,0))</f>
        <v>0</v>
      </c>
      <c r="C40" s="304"/>
      <c r="D40" s="305"/>
      <c r="E40" s="306"/>
      <c r="F40" s="307"/>
      <c r="G40" s="917"/>
      <c r="H40" s="306"/>
      <c r="I40" s="308"/>
      <c r="J40" s="343"/>
      <c r="K40" s="459">
        <f>C40*J40</f>
        <v>0</v>
      </c>
      <c r="L40" s="459">
        <f>K40*12</f>
        <v>0</v>
      </c>
      <c r="M40" s="1053"/>
      <c r="N40" s="342">
        <f>J40+$E$23</f>
        <v>0</v>
      </c>
      <c r="O40" s="460">
        <f>I40*C40</f>
        <v>0</v>
      </c>
      <c r="P40" s="460">
        <f>I40*Q40</f>
        <v>0</v>
      </c>
      <c r="Q40" s="204">
        <f>IF(E40="yes",C40,0)</f>
        <v>0</v>
      </c>
      <c r="R40" s="200"/>
      <c r="S40" s="210">
        <f>IF(G40="30% AMI",C40,0)</f>
        <v>0</v>
      </c>
      <c r="T40" s="200">
        <f>IF(G40="50% AMI",C40,0)</f>
        <v>0</v>
      </c>
      <c r="U40" s="200">
        <f>IF(G40="60% AMI",C40,0)</f>
        <v>0</v>
      </c>
      <c r="V40" s="200">
        <f>IF(G40="80% AMI",C40,0)</f>
        <v>0</v>
      </c>
      <c r="W40" s="200">
        <f>IF(G40="Unrestricted",C40,0)</f>
        <v>0</v>
      </c>
      <c r="X40" s="461" t="str">
        <f>IF(D40="High HOME Rents",$E$28,IF(D40="Low HOME Rents",$D$28,"NA"))</f>
        <v>NA</v>
      </c>
      <c r="Y40" s="286"/>
      <c r="Z40" s="484"/>
      <c r="AA40" s="481" t="s">
        <v>688</v>
      </c>
      <c r="AB40" s="1039"/>
      <c r="AC40" s="1039"/>
      <c r="AD40" s="1039"/>
      <c r="AE40" s="1039"/>
      <c r="AF40" s="1040"/>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140"/>
      <c r="BO40" s="140"/>
      <c r="BP40" s="140"/>
      <c r="BQ40" s="140"/>
      <c r="BR40" s="140"/>
      <c r="BS40" s="140"/>
      <c r="BT40" s="65"/>
      <c r="BU40" s="65"/>
      <c r="BV40" s="143"/>
      <c r="BW40" s="269"/>
      <c r="BX40" s="143"/>
      <c r="BY40" s="143"/>
      <c r="BZ40" s="143"/>
      <c r="CA40" s="143"/>
      <c r="CF40" s="441"/>
    </row>
    <row r="41" spans="1:84" s="23" customFormat="1" ht="13.8">
      <c r="A41" s="269">
        <f>IF(D41="Low HOME Rents",C41,0)</f>
        <v>0</v>
      </c>
      <c r="B41" s="575">
        <f>IF(D41="High HOME Rents",C41,IF(D41="Low HOME Rents",C41,0))</f>
        <v>0</v>
      </c>
      <c r="C41" s="304"/>
      <c r="D41" s="305"/>
      <c r="E41" s="306"/>
      <c r="F41" s="307"/>
      <c r="G41" s="917"/>
      <c r="H41" s="306"/>
      <c r="I41" s="308"/>
      <c r="J41" s="343"/>
      <c r="K41" s="459">
        <f>C41*J41</f>
        <v>0</v>
      </c>
      <c r="L41" s="459">
        <f>K41*12</f>
        <v>0</v>
      </c>
      <c r="M41" s="1053"/>
      <c r="N41" s="342">
        <f>J41+$E$23</f>
        <v>0</v>
      </c>
      <c r="O41" s="460">
        <f>I41*C41</f>
        <v>0</v>
      </c>
      <c r="P41" s="460">
        <f>I41*Q41</f>
        <v>0</v>
      </c>
      <c r="Q41" s="204">
        <f>IF(E41="yes",C41,0)</f>
        <v>0</v>
      </c>
      <c r="R41" s="200"/>
      <c r="S41" s="210">
        <f>IF(G41="30% AMI",C41,0)</f>
        <v>0</v>
      </c>
      <c r="T41" s="200">
        <f>IF(G41="50% AMI",C41,0)</f>
        <v>0</v>
      </c>
      <c r="U41" s="200">
        <f>IF(G41="60% AMI",C41,0)</f>
        <v>0</v>
      </c>
      <c r="V41" s="200">
        <f>IF(G41="80% AMI",C41,0)</f>
        <v>0</v>
      </c>
      <c r="W41" s="200">
        <f>IF(G41="Unrestricted",C41,0)</f>
        <v>0</v>
      </c>
      <c r="X41" s="461" t="str">
        <f>IF(D41="High HOME Rents",$E$28,IF(D41="Low HOME Rents",$D$28,"NA"))</f>
        <v>NA</v>
      </c>
      <c r="Y41" s="286"/>
      <c r="Z41" s="485" t="s">
        <v>535</v>
      </c>
      <c r="AA41" s="486"/>
      <c r="AB41" s="1043"/>
      <c r="AC41" s="1043"/>
      <c r="AD41" s="1043"/>
      <c r="AE41" s="1043"/>
      <c r="AF41" s="1044"/>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140"/>
      <c r="BO41" s="140"/>
      <c r="BP41" s="140"/>
      <c r="BQ41" s="140"/>
      <c r="BR41" s="140"/>
      <c r="BS41" s="140"/>
      <c r="BT41" s="65"/>
      <c r="BU41" s="65"/>
      <c r="BV41" s="143"/>
      <c r="BW41" s="269"/>
      <c r="BX41" s="143"/>
      <c r="BY41" s="143"/>
      <c r="BZ41" s="143"/>
      <c r="CA41" s="143"/>
      <c r="CF41" s="441"/>
    </row>
    <row r="42" spans="1:84" s="23" customFormat="1" ht="13.8">
      <c r="A42" s="269">
        <f>IF(D42="Low HOME Rents",C42,0)</f>
        <v>0</v>
      </c>
      <c r="B42" s="575">
        <f>IF(D42="High HOME Rents",C42,IF(D42="Low HOME Rents",C42,0))</f>
        <v>0</v>
      </c>
      <c r="C42" s="304"/>
      <c r="D42" s="305"/>
      <c r="E42" s="306"/>
      <c r="F42" s="307"/>
      <c r="G42" s="917"/>
      <c r="H42" s="306"/>
      <c r="I42" s="308"/>
      <c r="J42" s="343"/>
      <c r="K42" s="459">
        <f>C42*J42</f>
        <v>0</v>
      </c>
      <c r="L42" s="459">
        <f>K42*12</f>
        <v>0</v>
      </c>
      <c r="M42" s="1053"/>
      <c r="N42" s="342">
        <f>J42+$E$23</f>
        <v>0</v>
      </c>
      <c r="O42" s="460">
        <f>I42*C42</f>
        <v>0</v>
      </c>
      <c r="P42" s="460">
        <f>I42*Q42</f>
        <v>0</v>
      </c>
      <c r="Q42" s="204">
        <f>IF(E42="yes",C42,0)</f>
        <v>0</v>
      </c>
      <c r="R42" s="200"/>
      <c r="S42" s="210">
        <f>IF(G42="30% AMI",C42,0)</f>
        <v>0</v>
      </c>
      <c r="T42" s="200">
        <f>IF(G42="50% AMI",C42,0)</f>
        <v>0</v>
      </c>
      <c r="U42" s="200">
        <f>IF(G42="60% AMI",C42,0)</f>
        <v>0</v>
      </c>
      <c r="V42" s="200">
        <f>IF(G42="80% AMI",C42,0)</f>
        <v>0</v>
      </c>
      <c r="W42" s="200">
        <f>IF(G42="Unrestricted",C42,0)</f>
        <v>0</v>
      </c>
      <c r="X42" s="461" t="str">
        <f>IF(D42="High HOME Rents",$E$28,IF(D42="Low HOME Rents",$D$28,"NA"))</f>
        <v>NA</v>
      </c>
      <c r="Y42" s="286"/>
      <c r="Z42" s="485" t="s">
        <v>58</v>
      </c>
      <c r="AA42" s="486"/>
      <c r="AB42" s="1043"/>
      <c r="AC42" s="1043"/>
      <c r="AD42" s="1043"/>
      <c r="AE42" s="1043"/>
      <c r="AF42" s="1044"/>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140"/>
      <c r="BO42" s="140"/>
      <c r="BP42" s="140"/>
      <c r="BQ42" s="140"/>
      <c r="BR42" s="140"/>
      <c r="BS42" s="140"/>
      <c r="BT42" s="65"/>
      <c r="BU42" s="65"/>
      <c r="BV42" s="143"/>
      <c r="BW42" s="269"/>
      <c r="BX42" s="143"/>
      <c r="BY42" s="143"/>
      <c r="BZ42" s="143"/>
      <c r="CA42" s="143"/>
      <c r="CF42" s="441"/>
    </row>
    <row r="43" spans="1:84" s="23" customFormat="1" ht="13.8">
      <c r="A43" s="269">
        <f>IF(D43="Low HOME Rents",C43,0)</f>
        <v>0</v>
      </c>
      <c r="B43" s="575">
        <f>IF(D43="High HOME Rents",C43,IF(D43="Low HOME Rents",C43,0))</f>
        <v>0</v>
      </c>
      <c r="C43" s="304"/>
      <c r="D43" s="305"/>
      <c r="E43" s="306"/>
      <c r="F43" s="307"/>
      <c r="G43" s="917"/>
      <c r="H43" s="306"/>
      <c r="I43" s="308"/>
      <c r="J43" s="343"/>
      <c r="K43" s="459">
        <f>C43*J43</f>
        <v>0</v>
      </c>
      <c r="L43" s="459">
        <f>K43*12</f>
        <v>0</v>
      </c>
      <c r="M43" s="1053"/>
      <c r="N43" s="342">
        <f>J43+$E$23</f>
        <v>0</v>
      </c>
      <c r="O43" s="460">
        <f>I43*C43</f>
        <v>0</v>
      </c>
      <c r="P43" s="460">
        <f>I43*Q43</f>
        <v>0</v>
      </c>
      <c r="Q43" s="204">
        <f>IF(E43="yes",C43,0)</f>
        <v>0</v>
      </c>
      <c r="R43" s="200"/>
      <c r="S43" s="210">
        <f>IF(G43="30% AMI",C43,0)</f>
        <v>0</v>
      </c>
      <c r="T43" s="200">
        <f>IF(G43="50% AMI",C43,0)</f>
        <v>0</v>
      </c>
      <c r="U43" s="200">
        <f>IF(G43="60% AMI",C43,0)</f>
        <v>0</v>
      </c>
      <c r="V43" s="200">
        <f>IF(G43="80% AMI",C43,0)</f>
        <v>0</v>
      </c>
      <c r="W43" s="200">
        <f>IF(G43="Unrestricted",C43,0)</f>
        <v>0</v>
      </c>
      <c r="X43" s="461" t="str">
        <f>IF(D43="High HOME Rents",$E$28,IF(D43="Low HOME Rents",$D$28,"NA"))</f>
        <v>NA</v>
      </c>
      <c r="Y43" s="286"/>
      <c r="Z43" s="478" t="s">
        <v>536</v>
      </c>
      <c r="AA43" s="487" t="s">
        <v>533</v>
      </c>
      <c r="AB43" s="1175"/>
      <c r="AC43" s="1175"/>
      <c r="AD43" s="1175"/>
      <c r="AE43" s="1175"/>
      <c r="AF43" s="117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140"/>
      <c r="BO43" s="140"/>
      <c r="BP43" s="140"/>
      <c r="BQ43" s="140"/>
      <c r="BR43" s="140"/>
      <c r="BS43" s="140"/>
      <c r="BT43" s="65"/>
      <c r="BU43" s="65"/>
      <c r="BV43" s="143"/>
      <c r="BW43" s="269"/>
      <c r="BX43" s="143"/>
      <c r="BY43" s="143"/>
      <c r="BZ43" s="143"/>
      <c r="CA43" s="143"/>
      <c r="CF43" s="441"/>
    </row>
    <row r="44" spans="1:84" s="23" customFormat="1" ht="13.8">
      <c r="A44" s="269">
        <f>IF(D44="Low HOME Rents",C44,0)</f>
        <v>0</v>
      </c>
      <c r="B44" s="575">
        <f>IF(D44="High HOME Rents",C44,IF(D44="Low HOME Rents",C44,0))</f>
        <v>0</v>
      </c>
      <c r="C44" s="304"/>
      <c r="D44" s="305"/>
      <c r="E44" s="306"/>
      <c r="F44" s="307"/>
      <c r="G44" s="917"/>
      <c r="H44" s="306"/>
      <c r="I44" s="308"/>
      <c r="J44" s="343"/>
      <c r="K44" s="462">
        <f>C44*J44</f>
        <v>0</v>
      </c>
      <c r="L44" s="462">
        <f>K44*12</f>
        <v>0</v>
      </c>
      <c r="M44" s="1053"/>
      <c r="N44" s="342">
        <f>J44+$E$23</f>
        <v>0</v>
      </c>
      <c r="O44" s="460">
        <f>I44*C44</f>
        <v>0</v>
      </c>
      <c r="P44" s="460">
        <f>I44*Q44</f>
        <v>0</v>
      </c>
      <c r="Q44" s="209">
        <f>IF(E44="yes",C44,0)</f>
        <v>0</v>
      </c>
      <c r="R44" s="200"/>
      <c r="S44" s="212">
        <f>IF(G44="30% AMI",C44,0)</f>
        <v>0</v>
      </c>
      <c r="T44" s="213">
        <f>IF(G44="50% AMI",C44,0)</f>
        <v>0</v>
      </c>
      <c r="U44" s="213">
        <f>IF(G44="60% AMI",C44,0)</f>
        <v>0</v>
      </c>
      <c r="V44" s="213">
        <f>IF(G44="80% AMI",C44,0)</f>
        <v>0</v>
      </c>
      <c r="W44" s="213">
        <f>IF(G44="Unrestricted",C44,0)</f>
        <v>0</v>
      </c>
      <c r="X44" s="463" t="str">
        <f>IF(D44="High HOME Rents",$E$28,IF(D44="Low HOME Rents",$D$28,"NA"))</f>
        <v>NA</v>
      </c>
      <c r="Y44" s="286"/>
      <c r="Z44" s="475"/>
      <c r="AA44" s="489" t="s">
        <v>688</v>
      </c>
      <c r="AB44" s="1045"/>
      <c r="AC44" s="1045"/>
      <c r="AD44" s="1045"/>
      <c r="AE44" s="1045"/>
      <c r="AF44" s="104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140"/>
      <c r="BO44" s="140"/>
      <c r="BP44" s="140"/>
      <c r="BQ44" s="140"/>
      <c r="BR44" s="140"/>
      <c r="BS44" s="140"/>
      <c r="BT44" s="65"/>
      <c r="BU44" s="65"/>
      <c r="BV44" s="143"/>
      <c r="BW44" s="269"/>
      <c r="BX44" s="143"/>
      <c r="BY44" s="143"/>
      <c r="BZ44" s="143"/>
      <c r="CA44" s="143"/>
      <c r="CF44" s="441"/>
    </row>
    <row r="45" spans="1:84" s="23" customFormat="1" ht="14.4">
      <c r="A45" s="143"/>
      <c r="B45" s="522" t="s">
        <v>198</v>
      </c>
      <c r="C45" s="71">
        <f>SUM(C40:C44)</f>
        <v>0</v>
      </c>
      <c r="D45" s="71"/>
      <c r="E45" s="71">
        <f>Q45</f>
        <v>0</v>
      </c>
      <c r="F45" s="71"/>
      <c r="G45" s="71"/>
      <c r="H45" s="71"/>
      <c r="I45" s="71"/>
      <c r="K45" s="459">
        <f>SUM(K40:K44)</f>
        <v>0</v>
      </c>
      <c r="L45" s="459">
        <f>SUM(L40:L44)</f>
        <v>0</v>
      </c>
      <c r="M45" s="1053"/>
      <c r="N45" s="464"/>
      <c r="O45" s="460"/>
      <c r="P45" s="460"/>
      <c r="Q45" s="208">
        <f>SUM(Q40:Q44)</f>
        <v>0</v>
      </c>
      <c r="R45" s="200"/>
      <c r="S45" s="211">
        <f>SUM(S40:S44)</f>
        <v>0</v>
      </c>
      <c r="T45" s="211">
        <f>SUM(T40:T44)</f>
        <v>0</v>
      </c>
      <c r="U45" s="211">
        <f>SUM(U40:U44)</f>
        <v>0</v>
      </c>
      <c r="V45" s="211">
        <f>SUM(V40:V44)</f>
        <v>0</v>
      </c>
      <c r="W45" s="211">
        <f>SUM(W40:W44)</f>
        <v>0</v>
      </c>
      <c r="X45" s="449"/>
      <c r="Y45" s="286"/>
      <c r="Z45" s="488" t="s">
        <v>49</v>
      </c>
      <c r="AA45" s="282"/>
      <c r="AB45" s="1039"/>
      <c r="AC45" s="1039"/>
      <c r="AD45" s="1039"/>
      <c r="AE45" s="1039"/>
      <c r="AF45" s="1040"/>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140"/>
      <c r="BO45" s="140"/>
      <c r="BP45" s="140"/>
      <c r="BQ45" s="140"/>
      <c r="BR45" s="140"/>
      <c r="BS45" s="140"/>
      <c r="BT45" s="65"/>
      <c r="BU45" s="65"/>
      <c r="BV45" s="143"/>
      <c r="BW45" s="269"/>
      <c r="BX45" s="143"/>
      <c r="BY45" s="143"/>
      <c r="BZ45" s="143"/>
      <c r="CA45" s="143"/>
      <c r="CF45" s="441"/>
    </row>
    <row r="46" spans="1:84" s="23" customFormat="1" ht="49.8">
      <c r="A46" s="143"/>
      <c r="B46" s="521" t="s">
        <v>209</v>
      </c>
      <c r="C46" s="190" t="s">
        <v>194</v>
      </c>
      <c r="D46" s="191" t="s">
        <v>324</v>
      </c>
      <c r="E46" s="191" t="s">
        <v>330</v>
      </c>
      <c r="F46" s="194" t="s">
        <v>429</v>
      </c>
      <c r="G46" s="191" t="s">
        <v>325</v>
      </c>
      <c r="H46" s="190" t="s">
        <v>431</v>
      </c>
      <c r="I46" s="191" t="s">
        <v>213</v>
      </c>
      <c r="J46" s="191" t="s">
        <v>332</v>
      </c>
      <c r="K46" s="426" t="s">
        <v>195</v>
      </c>
      <c r="L46" s="426" t="s">
        <v>196</v>
      </c>
      <c r="M46" s="1054"/>
      <c r="N46" s="426" t="s">
        <v>214</v>
      </c>
      <c r="O46" s="457" t="s">
        <v>197</v>
      </c>
      <c r="P46" s="457" t="s">
        <v>334</v>
      </c>
      <c r="Q46" s="457" t="s">
        <v>335</v>
      </c>
      <c r="R46" s="200"/>
      <c r="S46" s="207">
        <v>0.3</v>
      </c>
      <c r="T46" s="207">
        <v>0.5</v>
      </c>
      <c r="U46" s="207">
        <v>0.6</v>
      </c>
      <c r="V46" s="207">
        <v>0.8</v>
      </c>
      <c r="W46" s="200" t="s">
        <v>337</v>
      </c>
      <c r="X46" s="458" t="s">
        <v>545</v>
      </c>
      <c r="Y46" s="286"/>
      <c r="Z46" s="485" t="s">
        <v>50</v>
      </c>
      <c r="AA46" s="490"/>
      <c r="AB46" s="1043"/>
      <c r="AC46" s="1043"/>
      <c r="AD46" s="1043"/>
      <c r="AE46" s="1043"/>
      <c r="AF46" s="1044"/>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140"/>
      <c r="BO46" s="140"/>
      <c r="BP46" s="140"/>
      <c r="BQ46" s="140"/>
      <c r="BR46" s="140"/>
      <c r="BS46" s="140"/>
      <c r="BT46" s="65"/>
      <c r="BU46" s="65"/>
      <c r="BV46" s="143"/>
      <c r="BW46" s="269"/>
      <c r="BX46" s="143"/>
      <c r="BY46" s="143"/>
      <c r="BZ46" s="143"/>
      <c r="CA46" s="143"/>
      <c r="CF46" s="441"/>
    </row>
    <row r="47" spans="1:84" s="23" customFormat="1" ht="13.8">
      <c r="A47" s="269">
        <f>IF(D47="Low HOME Rents",C47,0)</f>
        <v>0</v>
      </c>
      <c r="B47" s="575">
        <f>IF(D47="High HOME Rents",C47,IF(D47="Low HOME Rents",C47,0))</f>
        <v>0</v>
      </c>
      <c r="C47" s="304"/>
      <c r="D47" s="305"/>
      <c r="E47" s="306"/>
      <c r="F47" s="307"/>
      <c r="G47" s="1029"/>
      <c r="H47" s="306"/>
      <c r="I47" s="308"/>
      <c r="J47" s="343"/>
      <c r="K47" s="459">
        <f>C47*J47</f>
        <v>0</v>
      </c>
      <c r="L47" s="459">
        <f>K47*12</f>
        <v>0</v>
      </c>
      <c r="M47" s="1055"/>
      <c r="N47" s="459">
        <f>J47+$F$23</f>
        <v>0</v>
      </c>
      <c r="O47" s="460">
        <f>I47*C47</f>
        <v>0</v>
      </c>
      <c r="P47" s="460">
        <f>I47*Q47</f>
        <v>0</v>
      </c>
      <c r="Q47" s="204">
        <f>IF(E47="yes",C47,0)</f>
        <v>0</v>
      </c>
      <c r="R47" s="200"/>
      <c r="S47" s="210">
        <f>IF(G47="30% AMI",C47,0)</f>
        <v>0</v>
      </c>
      <c r="T47" s="200">
        <f>IF(G47="50% AMI",C47,0)</f>
        <v>0</v>
      </c>
      <c r="U47" s="200">
        <f>IF(G47="60% AMI",C47,0)</f>
        <v>0</v>
      </c>
      <c r="V47" s="200">
        <f>IF(G47="80% AMI",C47,0)</f>
        <v>0</v>
      </c>
      <c r="W47" s="200">
        <f>IF(G47="Unrestricted",C47,0)</f>
        <v>0</v>
      </c>
      <c r="X47" s="494" t="str">
        <f>IF(D47="High HOME Rents",$E$29,IF(D47="Low HOME Rents",$D$29,"NA"))</f>
        <v>NA</v>
      </c>
      <c r="Y47" s="286"/>
      <c r="Z47" s="485" t="s">
        <v>537</v>
      </c>
      <c r="AA47" s="490"/>
      <c r="AB47" s="1043"/>
      <c r="AC47" s="1043"/>
      <c r="AD47" s="1043"/>
      <c r="AE47" s="1043"/>
      <c r="AF47" s="1044"/>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140"/>
      <c r="BO47" s="140"/>
      <c r="BP47" s="140"/>
      <c r="BQ47" s="140"/>
      <c r="BR47" s="140"/>
      <c r="BS47" s="140"/>
      <c r="BT47" s="65"/>
      <c r="BU47" s="65"/>
      <c r="BW47" s="269"/>
      <c r="BX47" s="143"/>
      <c r="BY47" s="143"/>
      <c r="BZ47" s="143"/>
      <c r="CF47" s="441"/>
    </row>
    <row r="48" spans="1:84" s="38" customFormat="1" ht="15" customHeight="1">
      <c r="A48" s="269">
        <f>IF(D48="Low HOME Rents",C48,0)</f>
        <v>0</v>
      </c>
      <c r="B48" s="575">
        <f>IF(D48="High HOME Rents",C48,IF(D48="Low HOME Rents",C48,0))</f>
        <v>0</v>
      </c>
      <c r="C48" s="304"/>
      <c r="D48" s="305"/>
      <c r="E48" s="306"/>
      <c r="F48" s="307"/>
      <c r="G48" s="1029"/>
      <c r="H48" s="306"/>
      <c r="I48" s="308"/>
      <c r="J48" s="343"/>
      <c r="K48" s="459">
        <f>C48*J48</f>
        <v>0</v>
      </c>
      <c r="L48" s="459">
        <f>K48*12</f>
        <v>0</v>
      </c>
      <c r="M48" s="1055"/>
      <c r="N48" s="459">
        <f>J48+$F$23</f>
        <v>0</v>
      </c>
      <c r="O48" s="460">
        <f>I48*C48</f>
        <v>0</v>
      </c>
      <c r="P48" s="460">
        <f>I48*Q48</f>
        <v>0</v>
      </c>
      <c r="Q48" s="204">
        <f>IF(E48="yes",C48,0)</f>
        <v>0</v>
      </c>
      <c r="R48" s="100"/>
      <c r="S48" s="210">
        <f>IF(G48="30% AMI",C48,0)</f>
        <v>0</v>
      </c>
      <c r="T48" s="200">
        <f>IF(G48="50% AMI",C48,0)</f>
        <v>0</v>
      </c>
      <c r="U48" s="200">
        <f>IF(G48="60% AMI",C48,0)</f>
        <v>0</v>
      </c>
      <c r="V48" s="200">
        <f>IF(G48="80% AMI",C48,0)</f>
        <v>0</v>
      </c>
      <c r="W48" s="200">
        <f>IF(G48="Unrestricted",C48,0)</f>
        <v>0</v>
      </c>
      <c r="X48" s="461" t="str">
        <f>IF(D48="High HOME Rents",$E$29,IF(D48="Low HOME Rents",$D$29,"NA"))</f>
        <v>NA</v>
      </c>
      <c r="Y48" s="287"/>
      <c r="Z48" s="475" t="s">
        <v>368</v>
      </c>
      <c r="AA48" s="476"/>
      <c r="AB48" s="1042"/>
      <c r="AC48" s="1042"/>
      <c r="AD48" s="1042"/>
      <c r="AE48" s="1042"/>
      <c r="AF48" s="1041"/>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T48" s="100"/>
      <c r="BU48" s="100"/>
      <c r="BV48" s="100"/>
      <c r="BW48" s="271"/>
      <c r="CF48" s="444"/>
    </row>
    <row r="49" spans="1:84" s="103" customFormat="1" ht="15" customHeight="1">
      <c r="A49" s="269">
        <f>IF(D49="Low HOME Rents",C49,0)</f>
        <v>0</v>
      </c>
      <c r="B49" s="575">
        <f>IF(D49="High HOME Rents",C49,IF(D49="Low HOME Rents",C49,0))</f>
        <v>0</v>
      </c>
      <c r="C49" s="304"/>
      <c r="D49" s="305"/>
      <c r="E49" s="306"/>
      <c r="F49" s="307"/>
      <c r="G49" s="1029"/>
      <c r="H49" s="306"/>
      <c r="I49" s="308"/>
      <c r="J49" s="343"/>
      <c r="K49" s="459">
        <f>C49*J49</f>
        <v>0</v>
      </c>
      <c r="L49" s="459">
        <f>K49*12</f>
        <v>0</v>
      </c>
      <c r="M49" s="1055"/>
      <c r="N49" s="459">
        <f>J49+$F$23</f>
        <v>0</v>
      </c>
      <c r="O49" s="460">
        <f>I49*C49</f>
        <v>0</v>
      </c>
      <c r="P49" s="460">
        <f>I49*Q49</f>
        <v>0</v>
      </c>
      <c r="Q49" s="204">
        <f>IF(E49="yes",C49,0)</f>
        <v>0</v>
      </c>
      <c r="R49" s="113"/>
      <c r="S49" s="210">
        <f>IF(G49="30% AMI",C49,0)</f>
        <v>0</v>
      </c>
      <c r="T49" s="200">
        <f>IF(G49="50% AMI",C49,0)</f>
        <v>0</v>
      </c>
      <c r="U49" s="200">
        <f>IF(G49="60% AMI",C49,0)</f>
        <v>0</v>
      </c>
      <c r="V49" s="200">
        <f>IF(G49="80% AMI",C49,0)</f>
        <v>0</v>
      </c>
      <c r="W49" s="200">
        <f>IF(G49="Unrestricted",C49,0)</f>
        <v>0</v>
      </c>
      <c r="X49" s="461" t="str">
        <f>IF(D49="High HOME Rents",$E$29,IF(D49="Low HOME Rents",$D$29,"NA"))</f>
        <v>NA</v>
      </c>
      <c r="Y49" s="288"/>
      <c r="Z49" s="289"/>
      <c r="AA49" s="289"/>
      <c r="AB49" s="289"/>
      <c r="AC49" s="289"/>
      <c r="AD49" s="289"/>
      <c r="AE49" s="289"/>
      <c r="AF49" s="289"/>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T49" s="113"/>
      <c r="BU49" s="113"/>
      <c r="BV49" s="113"/>
      <c r="BW49" s="272"/>
      <c r="BX49" s="113"/>
      <c r="BY49" s="113"/>
      <c r="CF49" s="445"/>
    </row>
    <row r="50" spans="1:84" s="39" customFormat="1" ht="15" customHeight="1">
      <c r="A50" s="269">
        <f>IF(D50="Low HOME Rents",C50,0)</f>
        <v>0</v>
      </c>
      <c r="B50" s="575">
        <f>IF(D50="High HOME Rents",C50,IF(D50="Low HOME Rents",C50,0))</f>
        <v>0</v>
      </c>
      <c r="C50" s="304"/>
      <c r="D50" s="305"/>
      <c r="E50" s="306"/>
      <c r="F50" s="307"/>
      <c r="G50" s="1029"/>
      <c r="H50" s="306"/>
      <c r="I50" s="308"/>
      <c r="J50" s="343"/>
      <c r="K50" s="459">
        <f>C50*J50</f>
        <v>0</v>
      </c>
      <c r="L50" s="459">
        <f>K50*12</f>
        <v>0</v>
      </c>
      <c r="M50" s="1055"/>
      <c r="N50" s="459">
        <f>J50+$F$23</f>
        <v>0</v>
      </c>
      <c r="O50" s="460">
        <f>I50*C50</f>
        <v>0</v>
      </c>
      <c r="P50" s="460">
        <f>I50*Q50</f>
        <v>0</v>
      </c>
      <c r="Q50" s="204">
        <f>IF(E50="yes",C50,0)</f>
        <v>0</v>
      </c>
      <c r="R50" s="37"/>
      <c r="S50" s="210">
        <f>IF(G50="30% AMI",C50,0)</f>
        <v>0</v>
      </c>
      <c r="T50" s="200">
        <f>IF(G50="50% AMI",C50,0)</f>
        <v>0</v>
      </c>
      <c r="U50" s="200">
        <f>IF(G50="60% AMI",C50,0)</f>
        <v>0</v>
      </c>
      <c r="V50" s="200">
        <f>IF(G50="80% AMI",C50,0)</f>
        <v>0</v>
      </c>
      <c r="W50" s="200">
        <f>IF(G50="Unrestricted",C50,0)</f>
        <v>0</v>
      </c>
      <c r="X50" s="461" t="str">
        <f>IF(D50="High HOME Rents",$E$29,IF(D50="Low HOME Rents",$D$29,"NA"))</f>
        <v>NA</v>
      </c>
      <c r="Y50" s="289"/>
      <c r="Z50" s="1408"/>
      <c r="AA50" s="1409"/>
      <c r="AB50" s="1409"/>
      <c r="AC50" s="1409"/>
      <c r="AD50" s="1409"/>
      <c r="AE50" s="1409"/>
      <c r="AF50" s="140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T50" s="37"/>
      <c r="BU50" s="37"/>
      <c r="BV50" s="37"/>
      <c r="BW50" s="66"/>
      <c r="BX50" s="37"/>
      <c r="BY50" s="37"/>
      <c r="CF50" s="446"/>
    </row>
    <row r="51" spans="1:84" s="38" customFormat="1" ht="15" customHeight="1">
      <c r="A51" s="269">
        <f>IF(D51="Low HOME Rents",C51,0)</f>
        <v>0</v>
      </c>
      <c r="B51" s="575">
        <f>IF(D51="High HOME Rents",C51,IF(D51="Low HOME Rents",C51,0))</f>
        <v>0</v>
      </c>
      <c r="C51" s="304"/>
      <c r="D51" s="305"/>
      <c r="E51" s="306"/>
      <c r="F51" s="307"/>
      <c r="G51" s="1029"/>
      <c r="H51" s="306"/>
      <c r="I51" s="308"/>
      <c r="J51" s="343"/>
      <c r="K51" s="462">
        <f>C51*J51</f>
        <v>0</v>
      </c>
      <c r="L51" s="462">
        <f>K51*12</f>
        <v>0</v>
      </c>
      <c r="M51" s="1055"/>
      <c r="N51" s="459">
        <f>J51+$F$23</f>
        <v>0</v>
      </c>
      <c r="O51" s="460">
        <f>I51*C51</f>
        <v>0</v>
      </c>
      <c r="P51" s="460">
        <f>I51*Q51</f>
        <v>0</v>
      </c>
      <c r="Q51" s="209">
        <f>IF(E51="yes",C51,0)</f>
        <v>0</v>
      </c>
      <c r="R51" s="100"/>
      <c r="S51" s="212">
        <f>IF(G51="30% AMI",C51,0)</f>
        <v>0</v>
      </c>
      <c r="T51" s="213">
        <f>IF(G51="50% AMI",C51,0)</f>
        <v>0</v>
      </c>
      <c r="U51" s="213">
        <f>IF(G51="60% AMI",C51,0)</f>
        <v>0</v>
      </c>
      <c r="V51" s="213">
        <f>IF(G51="80% AMI",C51,0)</f>
        <v>0</v>
      </c>
      <c r="W51" s="213">
        <f>IF(G51="Unrestricted",C51,0)</f>
        <v>0</v>
      </c>
      <c r="X51" s="463" t="str">
        <f>IF(D51="High HOME Rents",$E$29,IF(D51="Low HOME Rents",$D$29,"NA"))</f>
        <v>NA</v>
      </c>
      <c r="Y51" s="287"/>
      <c r="Z51" s="1409"/>
      <c r="AA51" s="1409"/>
      <c r="AB51" s="1409"/>
      <c r="AC51" s="1409"/>
      <c r="AD51" s="1409"/>
      <c r="AE51" s="1409"/>
      <c r="AF51" s="1409"/>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T51" s="100"/>
      <c r="BU51" s="100"/>
      <c r="BV51" s="100"/>
      <c r="BW51" s="271"/>
      <c r="BX51" s="100"/>
      <c r="BY51" s="100"/>
      <c r="CF51" s="444"/>
    </row>
    <row r="52" spans="1:84" s="38" customFormat="1" ht="15" customHeight="1">
      <c r="A52" s="100"/>
      <c r="B52" s="522" t="s">
        <v>198</v>
      </c>
      <c r="C52" s="71">
        <f>SUM(C47:C51)</f>
        <v>0</v>
      </c>
      <c r="D52" s="71"/>
      <c r="E52" s="71">
        <f>Q52</f>
        <v>0</v>
      </c>
      <c r="F52" s="71"/>
      <c r="G52" s="71"/>
      <c r="H52" s="71"/>
      <c r="I52" s="71"/>
      <c r="J52" s="23"/>
      <c r="K52" s="459">
        <f>SUM(K47:K51)</f>
        <v>0</v>
      </c>
      <c r="L52" s="459">
        <f>SUM(L47:L51)</f>
        <v>0</v>
      </c>
      <c r="M52" s="1055"/>
      <c r="N52" s="465"/>
      <c r="O52" s="460"/>
      <c r="P52" s="460"/>
      <c r="Q52" s="208">
        <f>SUM(Q47:Q51)</f>
        <v>0</v>
      </c>
      <c r="R52" s="100"/>
      <c r="S52" s="211">
        <f>SUM(S47:S51)</f>
        <v>0</v>
      </c>
      <c r="T52" s="211">
        <f>SUM(T47:T51)</f>
        <v>0</v>
      </c>
      <c r="U52" s="211">
        <f>SUM(U47:U51)</f>
        <v>0</v>
      </c>
      <c r="V52" s="211">
        <f>SUM(V47:V51)</f>
        <v>0</v>
      </c>
      <c r="W52" s="211">
        <f>SUM(W47:W51)</f>
        <v>0</v>
      </c>
      <c r="X52" s="419"/>
      <c r="Y52" s="287"/>
      <c r="Z52" s="1409"/>
      <c r="AA52" s="1409"/>
      <c r="AB52" s="1409"/>
      <c r="AC52" s="1409"/>
      <c r="AD52" s="1409"/>
      <c r="AE52" s="1409"/>
      <c r="AF52" s="1409"/>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T52" s="100"/>
      <c r="BU52" s="100"/>
      <c r="BV52" s="100"/>
      <c r="BW52" s="271"/>
      <c r="BX52" s="100"/>
      <c r="BY52" s="100"/>
      <c r="CF52" s="444"/>
    </row>
    <row r="53" spans="1:84" s="65" customFormat="1" ht="49.8">
      <c r="A53" s="189"/>
      <c r="B53" s="521" t="s">
        <v>210</v>
      </c>
      <c r="C53" s="190" t="s">
        <v>194</v>
      </c>
      <c r="D53" s="191" t="s">
        <v>324</v>
      </c>
      <c r="E53" s="191" t="s">
        <v>330</v>
      </c>
      <c r="F53" s="194" t="s">
        <v>430</v>
      </c>
      <c r="G53" s="191" t="s">
        <v>325</v>
      </c>
      <c r="H53" s="190" t="s">
        <v>431</v>
      </c>
      <c r="I53" s="191" t="s">
        <v>213</v>
      </c>
      <c r="J53" s="191" t="s">
        <v>332</v>
      </c>
      <c r="K53" s="426" t="s">
        <v>195</v>
      </c>
      <c r="L53" s="426" t="s">
        <v>196</v>
      </c>
      <c r="M53" s="1054"/>
      <c r="N53" s="426" t="s">
        <v>214</v>
      </c>
      <c r="O53" s="457" t="s">
        <v>197</v>
      </c>
      <c r="P53" s="457" t="s">
        <v>334</v>
      </c>
      <c r="Q53" s="457" t="s">
        <v>335</v>
      </c>
      <c r="R53" s="189"/>
      <c r="S53" s="207">
        <v>0.3</v>
      </c>
      <c r="T53" s="207">
        <v>0.5</v>
      </c>
      <c r="U53" s="207">
        <v>0.6</v>
      </c>
      <c r="V53" s="207">
        <v>0.8</v>
      </c>
      <c r="W53" s="200" t="s">
        <v>337</v>
      </c>
      <c r="X53" s="458" t="s">
        <v>545</v>
      </c>
      <c r="Y53" s="285"/>
      <c r="Z53" s="1409"/>
      <c r="AA53" s="1409"/>
      <c r="AB53" s="1409"/>
      <c r="AC53" s="1409"/>
      <c r="AD53" s="1409"/>
      <c r="AE53" s="1409"/>
      <c r="AF53" s="1409"/>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U53" s="189"/>
      <c r="BV53" s="189"/>
      <c r="BW53" s="273"/>
      <c r="BX53" s="189"/>
      <c r="CF53" s="447"/>
    </row>
    <row r="54" spans="1:84" s="23" customFormat="1" ht="13.8">
      <c r="A54" s="269">
        <f>IF(D54="Low HOME Rents",C54,0)</f>
        <v>0</v>
      </c>
      <c r="B54" s="575">
        <f>IF(D54="High HOME Rents",C54,IF(D54="Low HOME Rents",C54,0))</f>
        <v>0</v>
      </c>
      <c r="C54" s="304"/>
      <c r="D54" s="305"/>
      <c r="E54" s="306"/>
      <c r="F54" s="307"/>
      <c r="G54" s="1029"/>
      <c r="H54" s="306"/>
      <c r="I54" s="308"/>
      <c r="J54" s="343"/>
      <c r="K54" s="459">
        <f>C54*J54</f>
        <v>0</v>
      </c>
      <c r="L54" s="459">
        <f>K54*12</f>
        <v>0</v>
      </c>
      <c r="M54" s="1055"/>
      <c r="N54" s="459">
        <f>J54+$G$23</f>
        <v>0</v>
      </c>
      <c r="O54" s="460">
        <f>I54*C54</f>
        <v>0</v>
      </c>
      <c r="P54" s="460">
        <f>I54*Q54</f>
        <v>0</v>
      </c>
      <c r="Q54" s="204">
        <f>IF(E54="yes",C54,0)</f>
        <v>0</v>
      </c>
      <c r="R54" s="189"/>
      <c r="S54" s="210">
        <f>IF(G54="30% AMI",C54,0)</f>
        <v>0</v>
      </c>
      <c r="T54" s="200">
        <f>IF(G54="50% AMI",C54,0)</f>
        <v>0</v>
      </c>
      <c r="U54" s="200">
        <f>IF(G54="60% AMI",C54,0)</f>
        <v>0</v>
      </c>
      <c r="V54" s="200">
        <f>IF(G54="80% AMI",C54,0)</f>
        <v>0</v>
      </c>
      <c r="W54" s="200">
        <f>IF(G54="Unrestricted",C54,0)</f>
        <v>0</v>
      </c>
      <c r="X54" s="494" t="str">
        <f>IF(D54="High HOME Rents",$E$30,IF(D54="Low HOME Rents",$D$30,"NA"))</f>
        <v>NA</v>
      </c>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65"/>
      <c r="BO54" s="65"/>
      <c r="BP54" s="65"/>
      <c r="BQ54" s="65"/>
      <c r="BR54" s="65"/>
      <c r="BS54" s="65"/>
      <c r="BT54" s="65"/>
      <c r="BU54" s="65"/>
      <c r="BW54" s="269"/>
      <c r="BY54" s="143"/>
      <c r="CF54" s="441"/>
    </row>
    <row r="55" spans="1:84" s="23" customFormat="1" ht="13.8">
      <c r="A55" s="269">
        <f>IF(D55="Low HOME Rents",C55,0)</f>
        <v>0</v>
      </c>
      <c r="B55" s="575">
        <f>IF(D55="High HOME Rents",C55,IF(D55="Low HOME Rents",C55,0))</f>
        <v>0</v>
      </c>
      <c r="C55" s="304"/>
      <c r="D55" s="305"/>
      <c r="E55" s="306"/>
      <c r="F55" s="307"/>
      <c r="G55" s="1029"/>
      <c r="H55" s="306"/>
      <c r="I55" s="308"/>
      <c r="J55" s="343"/>
      <c r="K55" s="459">
        <f>C55*J55</f>
        <v>0</v>
      </c>
      <c r="L55" s="459">
        <f>K55*12</f>
        <v>0</v>
      </c>
      <c r="M55" s="1055"/>
      <c r="N55" s="459">
        <f>J55+$G$23</f>
        <v>0</v>
      </c>
      <c r="O55" s="460">
        <f>I55*C55</f>
        <v>0</v>
      </c>
      <c r="P55" s="460">
        <f>I55*Q55</f>
        <v>0</v>
      </c>
      <c r="Q55" s="204">
        <f>IF(E55="yes",C55,0)</f>
        <v>0</v>
      </c>
      <c r="R55" s="189"/>
      <c r="S55" s="210">
        <f>IF(G55="30% AMI",C55,0)</f>
        <v>0</v>
      </c>
      <c r="T55" s="200">
        <f>IF(G55="50% AMI",C55,0)</f>
        <v>0</v>
      </c>
      <c r="U55" s="200">
        <f>IF(G55="60% AMI",C55,0)</f>
        <v>0</v>
      </c>
      <c r="V55" s="200">
        <f>IF(G55="80% AMI",C55,0)</f>
        <v>0</v>
      </c>
      <c r="W55" s="200">
        <f>IF(G55="Unrestricted",C55,0)</f>
        <v>0</v>
      </c>
      <c r="X55" s="461" t="str">
        <f>IF(D55="High HOME Rents",$E$30,IF(D55="Low HOME Rents",$D$30,"NA"))</f>
        <v>NA</v>
      </c>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65"/>
      <c r="BO55" s="65"/>
      <c r="BP55" s="65"/>
      <c r="BQ55" s="65"/>
      <c r="BR55" s="65"/>
      <c r="BS55" s="65"/>
      <c r="BT55" s="65"/>
      <c r="BU55" s="65"/>
      <c r="BW55" s="269"/>
      <c r="CF55" s="441"/>
    </row>
    <row r="56" spans="1:84" s="23" customFormat="1" ht="13.8">
      <c r="A56" s="269">
        <f>IF(D56="Low HOME Rents",C56,0)</f>
        <v>0</v>
      </c>
      <c r="B56" s="575">
        <f>IF(D56="High HOME Rents",C56,IF(D56="Low HOME Rents",C56,0))</f>
        <v>0</v>
      </c>
      <c r="C56" s="304"/>
      <c r="D56" s="305"/>
      <c r="E56" s="306"/>
      <c r="F56" s="307"/>
      <c r="G56" s="1029"/>
      <c r="H56" s="306"/>
      <c r="I56" s="308"/>
      <c r="J56" s="343"/>
      <c r="K56" s="459">
        <f>C56*J56</f>
        <v>0</v>
      </c>
      <c r="L56" s="459">
        <f>K56*12</f>
        <v>0</v>
      </c>
      <c r="M56" s="1055"/>
      <c r="N56" s="459">
        <f>J56+$G$23</f>
        <v>0</v>
      </c>
      <c r="O56" s="460">
        <f>I56*C56</f>
        <v>0</v>
      </c>
      <c r="P56" s="460">
        <f>I56*Q56</f>
        <v>0</v>
      </c>
      <c r="Q56" s="204">
        <f>IF(E56="yes",C56,0)</f>
        <v>0</v>
      </c>
      <c r="R56" s="189"/>
      <c r="S56" s="210">
        <f>IF(G56="30% AMI",C56,0)</f>
        <v>0</v>
      </c>
      <c r="T56" s="200">
        <f>IF(G56="50% AMI",C56,0)</f>
        <v>0</v>
      </c>
      <c r="U56" s="200">
        <f>IF(G56="60% AMI",C56,0)</f>
        <v>0</v>
      </c>
      <c r="V56" s="200">
        <f>IF(G56="80% AMI",C56,0)</f>
        <v>0</v>
      </c>
      <c r="W56" s="200">
        <f>IF(G56="Unrestricted",C56,0)</f>
        <v>0</v>
      </c>
      <c r="X56" s="461" t="str">
        <f>IF(D56="High HOME Rents",$E$30,IF(D56="Low HOME Rents",$D$30,"NA"))</f>
        <v>NA</v>
      </c>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65"/>
      <c r="BO56" s="65"/>
      <c r="BP56" s="65"/>
      <c r="BQ56" s="65"/>
      <c r="BR56" s="65"/>
      <c r="BS56" s="65"/>
      <c r="BT56" s="65"/>
      <c r="BU56" s="65"/>
      <c r="BW56" s="269"/>
      <c r="CF56" s="441"/>
    </row>
    <row r="57" spans="1:84" s="23" customFormat="1" ht="13.8">
      <c r="A57" s="269">
        <f>IF(D57="Low HOME Rents",C57,0)</f>
        <v>0</v>
      </c>
      <c r="B57" s="575">
        <f>IF(D57="High HOME Rents",C57,IF(D57="Low HOME Rents",C57,0))</f>
        <v>0</v>
      </c>
      <c r="C57" s="304"/>
      <c r="D57" s="305"/>
      <c r="E57" s="306"/>
      <c r="F57" s="307"/>
      <c r="G57" s="1029"/>
      <c r="H57" s="306"/>
      <c r="I57" s="308"/>
      <c r="J57" s="343"/>
      <c r="K57" s="459">
        <f>C57*J57</f>
        <v>0</v>
      </c>
      <c r="L57" s="459">
        <f>K57*12</f>
        <v>0</v>
      </c>
      <c r="M57" s="1055"/>
      <c r="N57" s="459">
        <f>J57+$G$23</f>
        <v>0</v>
      </c>
      <c r="O57" s="460">
        <f>I57*C57</f>
        <v>0</v>
      </c>
      <c r="P57" s="460">
        <f>I57*Q57</f>
        <v>0</v>
      </c>
      <c r="Q57" s="204">
        <f>IF(E57="yes",C57,0)</f>
        <v>0</v>
      </c>
      <c r="R57" s="189"/>
      <c r="S57" s="210">
        <f>IF(G57="30% AMI",C57,0)</f>
        <v>0</v>
      </c>
      <c r="T57" s="200">
        <f>IF(G57="50% AMI",C57,0)</f>
        <v>0</v>
      </c>
      <c r="U57" s="200">
        <f>IF(G57="60% AMI",C57,0)</f>
        <v>0</v>
      </c>
      <c r="V57" s="200">
        <f>IF(G57="80% AMI",C57,0)</f>
        <v>0</v>
      </c>
      <c r="W57" s="200">
        <f>IF(G57="Unrestricted",C57,0)</f>
        <v>0</v>
      </c>
      <c r="X57" s="461" t="str">
        <f>IF(D57="High HOME Rents",$E$30,IF(D57="Low HOME Rents",$D$30,"NA"))</f>
        <v>NA</v>
      </c>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65"/>
      <c r="BO57" s="65"/>
      <c r="BP57" s="65"/>
      <c r="BQ57" s="65"/>
      <c r="BR57" s="65"/>
      <c r="BS57" s="65"/>
      <c r="BT57" s="65"/>
      <c r="BU57" s="65"/>
      <c r="BW57" s="269"/>
      <c r="CF57" s="441"/>
    </row>
    <row r="58" spans="1:84" s="23" customFormat="1" ht="13.8">
      <c r="A58" s="269">
        <f>IF(D58="Low HOME Rents",C58,0)</f>
        <v>0</v>
      </c>
      <c r="B58" s="575">
        <f>IF(D58="High HOME Rents",C58,IF(D58="Low HOME Rents",C58,0))</f>
        <v>0</v>
      </c>
      <c r="C58" s="304"/>
      <c r="D58" s="305"/>
      <c r="E58" s="306"/>
      <c r="F58" s="307"/>
      <c r="G58" s="1029"/>
      <c r="H58" s="306"/>
      <c r="I58" s="308"/>
      <c r="J58" s="343"/>
      <c r="K58" s="462">
        <f>C58*J58</f>
        <v>0</v>
      </c>
      <c r="L58" s="462">
        <f>K58*12</f>
        <v>0</v>
      </c>
      <c r="M58" s="1055"/>
      <c r="N58" s="459">
        <f>J58+$G$23</f>
        <v>0</v>
      </c>
      <c r="O58" s="460">
        <f>I58*C58</f>
        <v>0</v>
      </c>
      <c r="P58" s="460">
        <f>I58*Q58</f>
        <v>0</v>
      </c>
      <c r="Q58" s="209">
        <f>IF(E58="yes",C58,0)</f>
        <v>0</v>
      </c>
      <c r="R58" s="189"/>
      <c r="S58" s="212">
        <f>IF(G58="30% AMI",C58,0)</f>
        <v>0</v>
      </c>
      <c r="T58" s="213">
        <f>IF(G58="50% AMI",C58,0)</f>
        <v>0</v>
      </c>
      <c r="U58" s="213">
        <f>IF(G58="60% AMI",C58,0)</f>
        <v>0</v>
      </c>
      <c r="V58" s="213">
        <f>IF(G58="80% AMI",C58,0)</f>
        <v>0</v>
      </c>
      <c r="W58" s="213">
        <f>IF(G58="Unrestricted",C58,0)</f>
        <v>0</v>
      </c>
      <c r="X58" s="463" t="str">
        <f>IF(D58="High HOME Rents",$E$30,IF(D58="Low HOME Rents",$D$30,"NA"))</f>
        <v>NA</v>
      </c>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65"/>
      <c r="BO58" s="65"/>
      <c r="BP58" s="65"/>
      <c r="BQ58" s="65"/>
      <c r="BR58" s="65"/>
      <c r="BS58" s="65"/>
      <c r="BT58" s="65"/>
      <c r="BU58" s="65"/>
      <c r="BW58" s="269"/>
      <c r="CF58" s="441"/>
    </row>
    <row r="59" spans="1:84" s="23" customFormat="1" ht="14.4">
      <c r="A59" s="143"/>
      <c r="B59" s="522" t="s">
        <v>198</v>
      </c>
      <c r="C59" s="71">
        <f>SUM(C54:C58)</f>
        <v>0</v>
      </c>
      <c r="D59" s="71"/>
      <c r="E59" s="71">
        <f>Q59</f>
        <v>0</v>
      </c>
      <c r="F59" s="71"/>
      <c r="G59" s="71"/>
      <c r="H59" s="71"/>
      <c r="I59" s="71"/>
      <c r="K59" s="459">
        <f>SUM(K54:K58)</f>
        <v>0</v>
      </c>
      <c r="L59" s="459">
        <f>SUM(L54:L58)</f>
        <v>0</v>
      </c>
      <c r="M59" s="1055"/>
      <c r="N59" s="465"/>
      <c r="O59" s="466"/>
      <c r="P59" s="466"/>
      <c r="Q59" s="208">
        <f>SUM(Q54:Q58)</f>
        <v>0</v>
      </c>
      <c r="R59" s="189"/>
      <c r="S59" s="211">
        <f>SUM(S54:S58)</f>
        <v>0</v>
      </c>
      <c r="T59" s="211">
        <f>SUM(T54:T58)</f>
        <v>0</v>
      </c>
      <c r="U59" s="211">
        <f>SUM(U54:U58)</f>
        <v>0</v>
      </c>
      <c r="V59" s="211">
        <f>SUM(V54:V58)</f>
        <v>0</v>
      </c>
      <c r="W59" s="211">
        <f>SUM(W54:W58)</f>
        <v>0</v>
      </c>
      <c r="X59" s="448"/>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65"/>
      <c r="BO59" s="65"/>
      <c r="BP59" s="65"/>
      <c r="BQ59" s="65"/>
      <c r="BR59" s="65"/>
      <c r="BS59" s="65"/>
      <c r="BT59" s="65"/>
      <c r="BU59" s="65"/>
      <c r="BW59" s="269"/>
      <c r="CF59" s="441"/>
    </row>
    <row r="60" spans="1:84" s="23" customFormat="1" ht="64.5" customHeight="1">
      <c r="A60" s="143"/>
      <c r="B60" s="521" t="s">
        <v>211</v>
      </c>
      <c r="C60" s="190" t="s">
        <v>194</v>
      </c>
      <c r="D60" s="191" t="s">
        <v>324</v>
      </c>
      <c r="E60" s="191" t="s">
        <v>330</v>
      </c>
      <c r="F60" s="194" t="s">
        <v>430</v>
      </c>
      <c r="G60" s="191" t="s">
        <v>325</v>
      </c>
      <c r="H60" s="190" t="s">
        <v>431</v>
      </c>
      <c r="I60" s="191" t="s">
        <v>213</v>
      </c>
      <c r="J60" s="191" t="s">
        <v>332</v>
      </c>
      <c r="K60" s="426" t="s">
        <v>195</v>
      </c>
      <c r="L60" s="426" t="s">
        <v>196</v>
      </c>
      <c r="M60" s="1056"/>
      <c r="N60" s="426" t="s">
        <v>214</v>
      </c>
      <c r="O60" s="457" t="s">
        <v>197</v>
      </c>
      <c r="P60" s="457" t="s">
        <v>334</v>
      </c>
      <c r="Q60" s="457" t="s">
        <v>335</v>
      </c>
      <c r="R60" s="189"/>
      <c r="S60" s="207">
        <v>0.3</v>
      </c>
      <c r="T60" s="207">
        <v>0.5</v>
      </c>
      <c r="U60" s="207">
        <v>0.6</v>
      </c>
      <c r="V60" s="207">
        <v>0.8</v>
      </c>
      <c r="W60" s="200" t="s">
        <v>337</v>
      </c>
      <c r="X60" s="495" t="s">
        <v>545</v>
      </c>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65"/>
      <c r="BO60" s="65"/>
      <c r="BP60" s="65"/>
      <c r="BQ60" s="65"/>
      <c r="BR60" s="65"/>
      <c r="BS60" s="65"/>
      <c r="BT60" s="65"/>
      <c r="BU60" s="65"/>
      <c r="BW60" s="269"/>
      <c r="CF60" s="441"/>
    </row>
    <row r="61" spans="1:84" s="23" customFormat="1" ht="15" customHeight="1">
      <c r="A61" s="269">
        <f>IF(D61="Low HOME Rents",C61,0)</f>
        <v>0</v>
      </c>
      <c r="B61" s="575">
        <f>IF(D61="High HOME Rents",C61,IF(D61="Low HOME Rents",C61,0))</f>
        <v>0</v>
      </c>
      <c r="C61" s="304"/>
      <c r="D61" s="305"/>
      <c r="E61" s="306"/>
      <c r="F61" s="307"/>
      <c r="G61" s="1029"/>
      <c r="H61" s="306"/>
      <c r="I61" s="308"/>
      <c r="J61" s="343"/>
      <c r="K61" s="459">
        <f>C61*J61</f>
        <v>0</v>
      </c>
      <c r="L61" s="459">
        <f>K61*12</f>
        <v>0</v>
      </c>
      <c r="M61" s="1056"/>
      <c r="N61" s="459">
        <f>J61+$H$23</f>
        <v>0</v>
      </c>
      <c r="O61" s="460">
        <f>I61*C61</f>
        <v>0</v>
      </c>
      <c r="P61" s="460">
        <f>I61*Q61</f>
        <v>0</v>
      </c>
      <c r="Q61" s="204">
        <f>IF(E61="yes",C61,0)</f>
        <v>0</v>
      </c>
      <c r="R61" s="189"/>
      <c r="S61" s="210">
        <f>IF(G61="30% AMI",C61,0)</f>
        <v>0</v>
      </c>
      <c r="T61" s="200">
        <f>IF(G61="50% AMI",C61,0)</f>
        <v>0</v>
      </c>
      <c r="U61" s="200">
        <f>IF(G61="60% AMI",C61,0)</f>
        <v>0</v>
      </c>
      <c r="V61" s="200">
        <f>IF(G61="80% AMI",C61,0)</f>
        <v>0</v>
      </c>
      <c r="W61" s="200">
        <f>IF(G61="Unrestricted",C61,0)</f>
        <v>0</v>
      </c>
      <c r="X61" s="494" t="str">
        <f>IF(D61="High HOME Rents",$E$31,IF(D61="Low HOME Rents",$D$31,"NA"))</f>
        <v>NA</v>
      </c>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65"/>
      <c r="BO61" s="65"/>
      <c r="BP61" s="65"/>
      <c r="BQ61" s="65"/>
      <c r="BR61" s="65"/>
      <c r="BS61" s="65"/>
      <c r="BT61" s="65"/>
      <c r="BU61" s="65"/>
      <c r="BW61" s="269"/>
      <c r="CF61" s="441"/>
    </row>
    <row r="62" spans="1:84" s="23" customFormat="1" ht="13.8">
      <c r="A62" s="269">
        <f>IF(D62="Low HOME Rents",C62,0)</f>
        <v>0</v>
      </c>
      <c r="B62" s="575">
        <f>IF(D62="High HOME Rents",C62,IF(D62="Low HOME Rents",C62,0))</f>
        <v>0</v>
      </c>
      <c r="C62" s="304"/>
      <c r="D62" s="305"/>
      <c r="E62" s="306"/>
      <c r="F62" s="307"/>
      <c r="G62" s="1029"/>
      <c r="H62" s="306"/>
      <c r="I62" s="308"/>
      <c r="J62" s="343"/>
      <c r="K62" s="459">
        <f>C62*J62</f>
        <v>0</v>
      </c>
      <c r="L62" s="459">
        <f>K62*12</f>
        <v>0</v>
      </c>
      <c r="M62" s="1056"/>
      <c r="N62" s="459">
        <f>J62+$H$23</f>
        <v>0</v>
      </c>
      <c r="O62" s="460">
        <f>I62*C62</f>
        <v>0</v>
      </c>
      <c r="P62" s="460">
        <f>I62*Q62</f>
        <v>0</v>
      </c>
      <c r="Q62" s="204">
        <f>IF(E62="yes",C62,0)</f>
        <v>0</v>
      </c>
      <c r="R62" s="189"/>
      <c r="S62" s="210">
        <f>IF(G62="30% AMI",C62,0)</f>
        <v>0</v>
      </c>
      <c r="T62" s="200">
        <f>IF(G62="50% AMI",C62,0)</f>
        <v>0</v>
      </c>
      <c r="U62" s="200">
        <f>IF(G62="60% AMI",C62,0)</f>
        <v>0</v>
      </c>
      <c r="V62" s="200">
        <f>IF(G62="80% AMI",C62,0)</f>
        <v>0</v>
      </c>
      <c r="W62" s="200">
        <f>IF(G62="Unrestricted",C62,0)</f>
        <v>0</v>
      </c>
      <c r="X62" s="461" t="str">
        <f>IF(D62="High HOME Rents",$E$31,IF(D62="Low HOME Rents",$D$31,"NA"))</f>
        <v>NA</v>
      </c>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65"/>
      <c r="BO62" s="65"/>
      <c r="BP62" s="65"/>
      <c r="BQ62" s="65"/>
      <c r="BR62" s="65"/>
      <c r="BS62" s="65"/>
      <c r="BT62" s="65"/>
      <c r="BU62" s="65"/>
      <c r="BW62" s="269"/>
      <c r="CF62" s="441"/>
    </row>
    <row r="63" spans="1:84" s="23" customFormat="1" ht="13.8">
      <c r="A63" s="269">
        <f>IF(D63="Low HOME Rents",C63,0)</f>
        <v>0</v>
      </c>
      <c r="B63" s="575">
        <f>IF(D63="High HOME Rents",C63,IF(D63="Low HOME Rents",C63,0))</f>
        <v>0</v>
      </c>
      <c r="C63" s="304"/>
      <c r="D63" s="305"/>
      <c r="E63" s="306"/>
      <c r="F63" s="307"/>
      <c r="G63" s="1029"/>
      <c r="H63" s="306"/>
      <c r="I63" s="308"/>
      <c r="J63" s="343"/>
      <c r="K63" s="459">
        <f>C63*J63</f>
        <v>0</v>
      </c>
      <c r="L63" s="459">
        <f>K63*12</f>
        <v>0</v>
      </c>
      <c r="M63" s="1056"/>
      <c r="N63" s="459">
        <f>J63+$H$23</f>
        <v>0</v>
      </c>
      <c r="O63" s="460">
        <f>I63*C63</f>
        <v>0</v>
      </c>
      <c r="P63" s="460">
        <f>I63*Q63</f>
        <v>0</v>
      </c>
      <c r="Q63" s="204">
        <f>IF(E63="yes",C63,0)</f>
        <v>0</v>
      </c>
      <c r="R63" s="189"/>
      <c r="S63" s="210">
        <f>IF(G63="30% AMI",C63,0)</f>
        <v>0</v>
      </c>
      <c r="T63" s="200">
        <f>IF(G63="50% AMI",C63,0)</f>
        <v>0</v>
      </c>
      <c r="U63" s="200">
        <f>IF(G63="60% AMI",C63,0)</f>
        <v>0</v>
      </c>
      <c r="V63" s="200">
        <f>IF(G63="80% AMI",C63,0)</f>
        <v>0</v>
      </c>
      <c r="W63" s="200">
        <f>IF(G63="Unrestricted",C63,0)</f>
        <v>0</v>
      </c>
      <c r="X63" s="461" t="str">
        <f>IF(D63="High HOME Rents",$E$31,IF(D63="Low HOME Rents",$D$31,"NA"))</f>
        <v>NA</v>
      </c>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65"/>
      <c r="BO63" s="65"/>
      <c r="BP63" s="65"/>
      <c r="BQ63" s="65"/>
      <c r="BR63" s="65"/>
      <c r="BS63" s="65"/>
      <c r="BT63" s="65"/>
      <c r="BU63" s="65"/>
      <c r="BW63" s="269"/>
      <c r="CF63" s="441"/>
    </row>
    <row r="64" spans="1:84" s="23" customFormat="1" ht="13.8">
      <c r="A64" s="269">
        <f>IF(D64="Low HOME Rents",C64,0)</f>
        <v>0</v>
      </c>
      <c r="B64" s="575">
        <f>IF(D64="High HOME Rents",C64,IF(D64="Low HOME Rents",C64,0))</f>
        <v>0</v>
      </c>
      <c r="C64" s="304"/>
      <c r="D64" s="305"/>
      <c r="E64" s="306"/>
      <c r="F64" s="307"/>
      <c r="G64" s="1029"/>
      <c r="H64" s="306"/>
      <c r="I64" s="308"/>
      <c r="J64" s="343"/>
      <c r="K64" s="459">
        <f>C64*J64</f>
        <v>0</v>
      </c>
      <c r="L64" s="459">
        <f>K64*12</f>
        <v>0</v>
      </c>
      <c r="M64" s="1056"/>
      <c r="N64" s="459">
        <f>J64+$H$23</f>
        <v>0</v>
      </c>
      <c r="O64" s="460">
        <f>I64*C64</f>
        <v>0</v>
      </c>
      <c r="P64" s="460">
        <f>I64*Q64</f>
        <v>0</v>
      </c>
      <c r="Q64" s="204">
        <f>IF(E64="yes",C64,0)</f>
        <v>0</v>
      </c>
      <c r="R64" s="189"/>
      <c r="S64" s="210">
        <f>IF(G64="30% AMI",C64,0)</f>
        <v>0</v>
      </c>
      <c r="T64" s="200">
        <f>IF(G64="50% AMI",C64,0)</f>
        <v>0</v>
      </c>
      <c r="U64" s="200">
        <f>IF(G64="60% AMI",C64,0)</f>
        <v>0</v>
      </c>
      <c r="V64" s="200">
        <f>IF(G64="80% AMI",C64,0)</f>
        <v>0</v>
      </c>
      <c r="W64" s="200">
        <f>IF(G64="Unrestricted",C64,0)</f>
        <v>0</v>
      </c>
      <c r="X64" s="461" t="str">
        <f>IF(D64="High HOME Rents",$E$31,IF(D64="Low HOME Rents",$D$31,"NA"))</f>
        <v>NA</v>
      </c>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65"/>
      <c r="BO64" s="65"/>
      <c r="BP64" s="65"/>
      <c r="BQ64" s="65"/>
      <c r="BR64" s="65"/>
      <c r="BS64" s="65"/>
      <c r="BT64" s="65"/>
      <c r="BU64" s="65"/>
      <c r="BW64" s="269"/>
      <c r="CF64" s="441"/>
    </row>
    <row r="65" spans="1:90" s="23" customFormat="1" ht="13.8">
      <c r="A65" s="269">
        <f>IF(D65="Low HOME Rents",C65,0)</f>
        <v>0</v>
      </c>
      <c r="B65" s="575">
        <f>IF(D65="High HOME Rents",C65,IF(D65="Low HOME Rents",C65,0))</f>
        <v>0</v>
      </c>
      <c r="C65" s="304"/>
      <c r="D65" s="305"/>
      <c r="E65" s="306"/>
      <c r="F65" s="307"/>
      <c r="G65" s="1029"/>
      <c r="H65" s="306"/>
      <c r="I65" s="308"/>
      <c r="J65" s="343"/>
      <c r="K65" s="462">
        <f>C65*J65</f>
        <v>0</v>
      </c>
      <c r="L65" s="462">
        <f>K65*12</f>
        <v>0</v>
      </c>
      <c r="M65" s="1056"/>
      <c r="N65" s="459">
        <f>J65+$H$23</f>
        <v>0</v>
      </c>
      <c r="O65" s="460">
        <f>I65*C65</f>
        <v>0</v>
      </c>
      <c r="P65" s="460">
        <f>I65*Q65</f>
        <v>0</v>
      </c>
      <c r="Q65" s="209">
        <f>IF(E65="yes",C65,0)</f>
        <v>0</v>
      </c>
      <c r="R65" s="189"/>
      <c r="S65" s="212">
        <f>IF(G65="30% AMI",C65,0)</f>
        <v>0</v>
      </c>
      <c r="T65" s="213">
        <f>IF(G65="50% AMI",C65,0)</f>
        <v>0</v>
      </c>
      <c r="U65" s="213">
        <f>IF(G65="60% AMI",C65,0)</f>
        <v>0</v>
      </c>
      <c r="V65" s="213">
        <f>IF(G65="80% AMI",C65,0)</f>
        <v>0</v>
      </c>
      <c r="W65" s="213">
        <f>IF(G65="Unrestricted",C65,0)</f>
        <v>0</v>
      </c>
      <c r="X65" s="463" t="str">
        <f>IF(D65="High HOME Rents",$E$31,IF(D65="Low HOME Rents",$D$31,"NA"))</f>
        <v>NA</v>
      </c>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65"/>
      <c r="BO65" s="65"/>
      <c r="BP65" s="65"/>
      <c r="BQ65" s="65"/>
      <c r="BR65" s="65"/>
      <c r="BS65" s="65"/>
      <c r="BT65" s="65"/>
      <c r="BU65" s="65"/>
      <c r="BW65" s="269"/>
      <c r="CF65" s="441"/>
    </row>
    <row r="66" spans="1:90" s="23" customFormat="1" ht="14.4">
      <c r="A66" s="143"/>
      <c r="B66" s="522" t="s">
        <v>198</v>
      </c>
      <c r="C66" s="71">
        <f>SUM(C61:C65)</f>
        <v>0</v>
      </c>
      <c r="D66" s="71"/>
      <c r="E66" s="71">
        <f>Q66</f>
        <v>0</v>
      </c>
      <c r="F66" s="71"/>
      <c r="G66" s="71"/>
      <c r="H66" s="71"/>
      <c r="I66" s="71"/>
      <c r="K66" s="459">
        <f>SUM(K61:K65)</f>
        <v>0</v>
      </c>
      <c r="L66" s="459">
        <f>SUM(L61:L65)</f>
        <v>0</v>
      </c>
      <c r="M66" s="1056"/>
      <c r="N66" s="465"/>
      <c r="O66" s="460"/>
      <c r="P66" s="460"/>
      <c r="Q66" s="208">
        <f>SUM(Q61:Q65)</f>
        <v>0</v>
      </c>
      <c r="R66" s="189"/>
      <c r="S66" s="211">
        <f>SUM(S61:S65)</f>
        <v>0</v>
      </c>
      <c r="T66" s="211">
        <f>SUM(T61:T65)</f>
        <v>0</v>
      </c>
      <c r="U66" s="211">
        <f>SUM(U61:U65)</f>
        <v>0</v>
      </c>
      <c r="V66" s="211">
        <f>SUM(V61:V65)</f>
        <v>0</v>
      </c>
      <c r="W66" s="211">
        <f>SUM(W61:W65)</f>
        <v>0</v>
      </c>
      <c r="X66" s="448"/>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K66" s="285"/>
      <c r="BL66" s="285"/>
      <c r="BM66" s="285"/>
      <c r="BN66" s="65"/>
      <c r="BO66" s="65"/>
      <c r="BP66" s="65"/>
      <c r="BQ66" s="65"/>
      <c r="BR66" s="65"/>
      <c r="BS66" s="65"/>
      <c r="BT66" s="65"/>
      <c r="BU66" s="65"/>
      <c r="BW66" s="269"/>
      <c r="CF66" s="441"/>
    </row>
    <row r="67" spans="1:90" s="23" customFormat="1" ht="51.75" customHeight="1">
      <c r="A67" s="143"/>
      <c r="B67" s="521" t="s">
        <v>212</v>
      </c>
      <c r="C67" s="190" t="s">
        <v>194</v>
      </c>
      <c r="D67" s="191" t="s">
        <v>324</v>
      </c>
      <c r="E67" s="191" t="s">
        <v>330</v>
      </c>
      <c r="F67" s="194" t="s">
        <v>429</v>
      </c>
      <c r="G67" s="191" t="s">
        <v>325</v>
      </c>
      <c r="H67" s="190" t="s">
        <v>431</v>
      </c>
      <c r="I67" s="191" t="s">
        <v>213</v>
      </c>
      <c r="J67" s="191" t="s">
        <v>332</v>
      </c>
      <c r="K67" s="426" t="s">
        <v>195</v>
      </c>
      <c r="L67" s="426" t="s">
        <v>196</v>
      </c>
      <c r="M67" s="1049"/>
      <c r="N67" s="426" t="s">
        <v>214</v>
      </c>
      <c r="O67" s="457" t="s">
        <v>197</v>
      </c>
      <c r="P67" s="457" t="s">
        <v>334</v>
      </c>
      <c r="Q67" s="457" t="s">
        <v>335</v>
      </c>
      <c r="R67" s="189"/>
      <c r="S67" s="207">
        <v>0.3</v>
      </c>
      <c r="T67" s="207">
        <v>0.5</v>
      </c>
      <c r="U67" s="207">
        <v>0.6</v>
      </c>
      <c r="V67" s="207">
        <v>0.8</v>
      </c>
      <c r="W67" s="200" t="s">
        <v>337</v>
      </c>
      <c r="X67" s="495" t="s">
        <v>545</v>
      </c>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5"/>
      <c r="BD67" s="285"/>
      <c r="BE67" s="285"/>
      <c r="BF67" s="285"/>
      <c r="BG67" s="285"/>
      <c r="BH67" s="285"/>
      <c r="BI67" s="285"/>
      <c r="BJ67" s="285"/>
      <c r="BK67" s="285"/>
      <c r="BL67" s="285"/>
      <c r="BM67" s="285"/>
      <c r="BN67" s="65"/>
      <c r="BO67" s="65"/>
      <c r="BP67" s="65"/>
      <c r="BQ67" s="65"/>
      <c r="BR67" s="65"/>
      <c r="BS67" s="65"/>
      <c r="BT67" s="65"/>
      <c r="BU67" s="65"/>
      <c r="BW67" s="269"/>
      <c r="CF67" s="441"/>
    </row>
    <row r="68" spans="1:90" s="23" customFormat="1" ht="13.8">
      <c r="A68" s="269">
        <f>IF(D68="Low HOME Rents",C68,0)</f>
        <v>0</v>
      </c>
      <c r="B68" s="575">
        <f>IF(D68="High HOME Rents",C68,IF(D68="Low HOME Rents",C68,0))</f>
        <v>0</v>
      </c>
      <c r="C68" s="304"/>
      <c r="D68" s="305"/>
      <c r="E68" s="306"/>
      <c r="F68" s="307"/>
      <c r="G68" s="917"/>
      <c r="H68" s="306"/>
      <c r="I68" s="308"/>
      <c r="J68" s="343"/>
      <c r="K68" s="459">
        <f>C68*J68</f>
        <v>0</v>
      </c>
      <c r="L68" s="459">
        <f>K68*12</f>
        <v>0</v>
      </c>
      <c r="M68" s="1056"/>
      <c r="N68" s="459">
        <f>J68+$I$23</f>
        <v>0</v>
      </c>
      <c r="O68" s="460">
        <f>I68*C68</f>
        <v>0</v>
      </c>
      <c r="P68" s="460">
        <f>I68*Q68</f>
        <v>0</v>
      </c>
      <c r="Q68" s="204">
        <f>IF(E68="yes",C68,0)</f>
        <v>0</v>
      </c>
      <c r="R68" s="189"/>
      <c r="S68" s="210">
        <f>IF(G68="30% AMI",C68,0)</f>
        <v>0</v>
      </c>
      <c r="T68" s="200">
        <f>IF(G68="50% AMI",C68,0)</f>
        <v>0</v>
      </c>
      <c r="U68" s="200">
        <f>IF(G68="60% AMI",C68,0)</f>
        <v>0</v>
      </c>
      <c r="V68" s="200">
        <f>IF(G68="80% AMI",C68,0)</f>
        <v>0</v>
      </c>
      <c r="W68" s="200">
        <f>IF(G68="Unrestricted",C68,0)</f>
        <v>0</v>
      </c>
      <c r="X68" s="494" t="str">
        <f>IF(D68="High HOME Rents",$E$32,IF(D68="Low HOME Rents",$D$32,"NA"))</f>
        <v>NA</v>
      </c>
      <c r="Y68" s="285"/>
      <c r="Z68" s="285"/>
      <c r="AA68" s="285"/>
      <c r="AB68" s="285"/>
      <c r="AC68" s="285"/>
      <c r="AD68" s="285"/>
      <c r="AE68" s="285"/>
      <c r="AF68" s="285"/>
      <c r="AG68" s="285"/>
      <c r="AH68" s="285"/>
      <c r="AI68" s="285"/>
      <c r="AJ68" s="285"/>
      <c r="AK68" s="285"/>
      <c r="AL68" s="285"/>
      <c r="AM68" s="285"/>
      <c r="AN68" s="285"/>
      <c r="AO68" s="285"/>
      <c r="AP68" s="285"/>
      <c r="AQ68" s="285"/>
      <c r="AR68" s="285"/>
      <c r="AS68" s="285"/>
      <c r="AT68" s="285"/>
      <c r="AU68" s="285"/>
      <c r="AV68" s="285"/>
      <c r="AW68" s="285"/>
      <c r="AX68" s="285"/>
      <c r="AY68" s="285"/>
      <c r="AZ68" s="285"/>
      <c r="BA68" s="285"/>
      <c r="BB68" s="285"/>
      <c r="BC68" s="285"/>
      <c r="BD68" s="285"/>
      <c r="BE68" s="285"/>
      <c r="BF68" s="285"/>
      <c r="BG68" s="285"/>
      <c r="BH68" s="285"/>
      <c r="BI68" s="285"/>
      <c r="BJ68" s="285"/>
      <c r="BK68" s="285"/>
      <c r="BL68" s="285"/>
      <c r="BM68" s="285"/>
      <c r="BN68" s="65"/>
      <c r="BO68" s="65"/>
      <c r="BP68" s="65"/>
      <c r="BQ68" s="65"/>
      <c r="BR68" s="65"/>
      <c r="BS68" s="65"/>
      <c r="BT68" s="65"/>
      <c r="BU68" s="65"/>
      <c r="BW68" s="269"/>
      <c r="CF68" s="441"/>
    </row>
    <row r="69" spans="1:90" s="23" customFormat="1" ht="13.8">
      <c r="A69" s="269">
        <f>IF(D69="Low HOME Rents",C69,0)</f>
        <v>0</v>
      </c>
      <c r="B69" s="575">
        <f>IF(D69="High HOME Rents",C69,IF(D69="Low HOME Rents",C69,0))</f>
        <v>0</v>
      </c>
      <c r="C69" s="304"/>
      <c r="D69" s="305"/>
      <c r="E69" s="306"/>
      <c r="F69" s="307"/>
      <c r="G69" s="917"/>
      <c r="H69" s="306"/>
      <c r="I69" s="308"/>
      <c r="J69" s="343"/>
      <c r="K69" s="459">
        <f>C69*J69</f>
        <v>0</v>
      </c>
      <c r="L69" s="459">
        <f>K69*12</f>
        <v>0</v>
      </c>
      <c r="M69" s="1056"/>
      <c r="N69" s="459">
        <f>J69+$I$23</f>
        <v>0</v>
      </c>
      <c r="O69" s="460">
        <f>I69*C69</f>
        <v>0</v>
      </c>
      <c r="P69" s="460">
        <f>I69*Q69</f>
        <v>0</v>
      </c>
      <c r="Q69" s="204">
        <f>IF(E69="yes",C69,0)</f>
        <v>0</v>
      </c>
      <c r="R69" s="189"/>
      <c r="S69" s="210">
        <f>IF(G69="30% AMI",C69,0)</f>
        <v>0</v>
      </c>
      <c r="T69" s="200">
        <f>IF(G69="50% AMI",C69,0)</f>
        <v>0</v>
      </c>
      <c r="U69" s="200">
        <f>IF(G69="60% AMI",C69,0)</f>
        <v>0</v>
      </c>
      <c r="V69" s="200">
        <f>IF(G69="80% AMI",C69,0)</f>
        <v>0</v>
      </c>
      <c r="W69" s="200">
        <f>IF(G69="Unrestricted",C69,0)</f>
        <v>0</v>
      </c>
      <c r="X69" s="461" t="str">
        <f>IF(D69="High HOME Rents",$E$32,IF(D69="Low HOME Rents",$D$32,"NA"))</f>
        <v>NA</v>
      </c>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65"/>
      <c r="BO69" s="65"/>
      <c r="BP69" s="65"/>
      <c r="BQ69" s="65"/>
      <c r="BR69" s="65"/>
      <c r="BS69" s="65"/>
      <c r="BT69" s="65"/>
      <c r="BU69" s="65"/>
      <c r="BW69" s="269"/>
      <c r="CF69" s="441"/>
    </row>
    <row r="70" spans="1:90" s="23" customFormat="1" ht="13.8">
      <c r="A70" s="269">
        <f>IF(D70="Low HOME Rents",C70,0)</f>
        <v>0</v>
      </c>
      <c r="B70" s="575">
        <f>IF(D70="High HOME Rents",C70,IF(D70="Low HOME Rents",C70,0))</f>
        <v>0</v>
      </c>
      <c r="C70" s="304"/>
      <c r="D70" s="305"/>
      <c r="E70" s="306"/>
      <c r="F70" s="307"/>
      <c r="G70" s="917"/>
      <c r="H70" s="306"/>
      <c r="I70" s="308"/>
      <c r="J70" s="343"/>
      <c r="K70" s="459">
        <f>C70*J70</f>
        <v>0</v>
      </c>
      <c r="L70" s="459">
        <f>K70*12</f>
        <v>0</v>
      </c>
      <c r="M70" s="1056"/>
      <c r="N70" s="459">
        <f>J70+$I$23</f>
        <v>0</v>
      </c>
      <c r="O70" s="460">
        <f>I70*C70</f>
        <v>0</v>
      </c>
      <c r="P70" s="460">
        <f>I70*Q70</f>
        <v>0</v>
      </c>
      <c r="Q70" s="204">
        <f>IF(E70="yes",C70,0)</f>
        <v>0</v>
      </c>
      <c r="R70" s="189"/>
      <c r="S70" s="210">
        <f>IF(G70="30% AMI",C70,0)</f>
        <v>0</v>
      </c>
      <c r="T70" s="200">
        <f>IF(G70="50% AMI",C70,0)</f>
        <v>0</v>
      </c>
      <c r="U70" s="200">
        <f>IF(G70="60% AMI",C70,0)</f>
        <v>0</v>
      </c>
      <c r="V70" s="200">
        <f>IF(G70="80% AMI",C70,0)</f>
        <v>0</v>
      </c>
      <c r="W70" s="200">
        <f>IF(G70="Unrestricted",C70,0)</f>
        <v>0</v>
      </c>
      <c r="X70" s="461" t="str">
        <f>IF(D70="High HOME Rents",$E$32,IF(D70="Low HOME Rents",$D$32,"NA"))</f>
        <v>NA</v>
      </c>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65"/>
      <c r="BO70" s="65"/>
      <c r="BP70" s="65"/>
      <c r="BQ70" s="65"/>
      <c r="BR70" s="65"/>
      <c r="BS70" s="65"/>
      <c r="BT70" s="65"/>
      <c r="BU70" s="65"/>
      <c r="BW70" s="269"/>
      <c r="CF70" s="441"/>
    </row>
    <row r="71" spans="1:90" s="23" customFormat="1" ht="13.8">
      <c r="A71" s="269">
        <f>IF(D71="Low HOME Rents",C71,0)</f>
        <v>0</v>
      </c>
      <c r="B71" s="575">
        <f>IF(D71="High HOME Rents",C71,IF(D71="Low HOME Rents",C71,0))</f>
        <v>0</v>
      </c>
      <c r="C71" s="304"/>
      <c r="D71" s="305"/>
      <c r="E71" s="306"/>
      <c r="F71" s="307"/>
      <c r="G71" s="917"/>
      <c r="H71" s="306"/>
      <c r="I71" s="308"/>
      <c r="J71" s="343"/>
      <c r="K71" s="459">
        <f>C71*J71</f>
        <v>0</v>
      </c>
      <c r="L71" s="459">
        <f>K71*12</f>
        <v>0</v>
      </c>
      <c r="M71" s="1056"/>
      <c r="N71" s="459">
        <f>J71+$I$23</f>
        <v>0</v>
      </c>
      <c r="O71" s="460">
        <f>I71*C71</f>
        <v>0</v>
      </c>
      <c r="P71" s="460">
        <f>I71*Q71</f>
        <v>0</v>
      </c>
      <c r="Q71" s="204">
        <f>IF(E71="yes",C71,0)</f>
        <v>0</v>
      </c>
      <c r="R71" s="189"/>
      <c r="S71" s="210">
        <f>IF(G71="30% AMI",C71,0)</f>
        <v>0</v>
      </c>
      <c r="T71" s="200">
        <f>IF(G71="50% AMI",C71,0)</f>
        <v>0</v>
      </c>
      <c r="U71" s="200">
        <f>IF(G71="60% AMI",C71,0)</f>
        <v>0</v>
      </c>
      <c r="V71" s="200">
        <f>IF(G71="80% AMI",C71,0)</f>
        <v>0</v>
      </c>
      <c r="W71" s="200">
        <f>IF(G71="Unrestricted",C71,0)</f>
        <v>0</v>
      </c>
      <c r="X71" s="461" t="str">
        <f>IF(D71="High HOME Rents",$E$32,IF(D71="Low HOME Rents",$D$32,"NA"))</f>
        <v>NA</v>
      </c>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65"/>
      <c r="BO71" s="65"/>
      <c r="BP71" s="65"/>
      <c r="BQ71" s="65"/>
      <c r="BR71" s="65"/>
      <c r="BS71" s="65"/>
      <c r="BT71" s="65"/>
      <c r="BU71" s="65"/>
      <c r="BW71" s="269"/>
      <c r="CF71" s="441"/>
    </row>
    <row r="72" spans="1:90" s="23" customFormat="1" ht="13.8">
      <c r="A72" s="269">
        <f>IF(D72="Low HOME Rents",C72,0)</f>
        <v>0</v>
      </c>
      <c r="B72" s="575">
        <f>IF(D72="High HOME Rents",C72,IF(D72="Low HOME Rents",C72,0))</f>
        <v>0</v>
      </c>
      <c r="C72" s="304"/>
      <c r="D72" s="305"/>
      <c r="E72" s="306"/>
      <c r="F72" s="307"/>
      <c r="G72" s="917"/>
      <c r="H72" s="306"/>
      <c r="I72" s="308"/>
      <c r="J72" s="343"/>
      <c r="K72" s="462">
        <f>C72*J72</f>
        <v>0</v>
      </c>
      <c r="L72" s="462">
        <f>K72*12</f>
        <v>0</v>
      </c>
      <c r="M72" s="1056"/>
      <c r="N72" s="462">
        <f>J72+$I$23</f>
        <v>0</v>
      </c>
      <c r="O72" s="460">
        <f>I72*C72</f>
        <v>0</v>
      </c>
      <c r="P72" s="460">
        <f>I72*Q72</f>
        <v>0</v>
      </c>
      <c r="Q72" s="209">
        <f>IF(E72="yes",C72,0)</f>
        <v>0</v>
      </c>
      <c r="R72" s="189"/>
      <c r="S72" s="212">
        <f>IF(G72="30% AMI",C72,0)</f>
        <v>0</v>
      </c>
      <c r="T72" s="213">
        <f>IF(G72="50% AMI",C72,0)</f>
        <v>0</v>
      </c>
      <c r="U72" s="213">
        <f>IF(G72="60% AMI",C72,0)</f>
        <v>0</v>
      </c>
      <c r="V72" s="213">
        <f>IF(G72="80% AMI",C72,0)</f>
        <v>0</v>
      </c>
      <c r="W72" s="213">
        <f>IF(G72="Unrestricted",C72,0)</f>
        <v>0</v>
      </c>
      <c r="X72" s="463" t="str">
        <f>IF(D72="High HOME Rents",$E$32,IF(D72="Low HOME Rents",$D$32,"NA"))</f>
        <v>NA</v>
      </c>
      <c r="Y72" s="285"/>
      <c r="Z72" s="285"/>
      <c r="AA72" s="285"/>
      <c r="AB72" s="285"/>
      <c r="AC72" s="285"/>
      <c r="AD72" s="285"/>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65"/>
      <c r="BO72" s="65"/>
      <c r="BP72" s="65"/>
      <c r="BQ72" s="65"/>
      <c r="BR72" s="65"/>
      <c r="BS72" s="65"/>
      <c r="BT72" s="65"/>
      <c r="BU72" s="65"/>
      <c r="BW72" s="269"/>
      <c r="CF72" s="441"/>
    </row>
    <row r="73" spans="1:90" s="23" customFormat="1" ht="14.4">
      <c r="A73" s="143"/>
      <c r="B73" s="522" t="s">
        <v>198</v>
      </c>
      <c r="C73" s="71">
        <f>SUM(C68:C72)</f>
        <v>0</v>
      </c>
      <c r="D73" s="71"/>
      <c r="E73" s="71">
        <f>Q73</f>
        <v>0</v>
      </c>
      <c r="F73" s="71"/>
      <c r="G73" s="71"/>
      <c r="H73" s="71"/>
      <c r="I73" s="71"/>
      <c r="K73" s="459">
        <f>SUM(K68:K72)</f>
        <v>0</v>
      </c>
      <c r="L73" s="459">
        <f>SUM(L68:L72)</f>
        <v>0</v>
      </c>
      <c r="M73" s="1056"/>
      <c r="N73" s="459"/>
      <c r="O73" s="460"/>
      <c r="P73" s="460"/>
      <c r="Q73" s="208">
        <f>SUM(Q68:Q72)</f>
        <v>0</v>
      </c>
      <c r="R73" s="189"/>
      <c r="S73" s="211">
        <f>SUM(S68:S72)</f>
        <v>0</v>
      </c>
      <c r="T73" s="211">
        <f>SUM(T68:T72)</f>
        <v>0</v>
      </c>
      <c r="U73" s="211">
        <f>SUM(U68:U72)</f>
        <v>0</v>
      </c>
      <c r="V73" s="211">
        <f>SUM(V68:V72)</f>
        <v>0</v>
      </c>
      <c r="W73" s="211">
        <f>SUM(W68:W72)</f>
        <v>0</v>
      </c>
      <c r="X73" s="448"/>
      <c r="Y73" s="285"/>
      <c r="Z73" s="285"/>
      <c r="AA73" s="285"/>
      <c r="AB73" s="285"/>
      <c r="AC73" s="285"/>
      <c r="AD73" s="28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65"/>
      <c r="BO73" s="65"/>
      <c r="BP73" s="65"/>
      <c r="BQ73" s="65"/>
      <c r="BR73" s="65"/>
      <c r="BS73" s="65"/>
      <c r="BT73" s="65"/>
      <c r="BU73" s="65"/>
      <c r="BW73" s="269"/>
      <c r="CF73" s="441"/>
    </row>
    <row r="74" spans="1:90" s="23" customFormat="1" ht="13.8">
      <c r="A74" s="143"/>
      <c r="B74" s="143"/>
      <c r="C74" s="71"/>
      <c r="D74" s="71"/>
      <c r="E74" s="71"/>
      <c r="F74" s="71"/>
      <c r="K74" s="142"/>
      <c r="L74" s="65"/>
      <c r="M74" s="1049"/>
      <c r="N74" s="65"/>
      <c r="O74" s="65"/>
      <c r="P74" s="65"/>
      <c r="Q74" s="202"/>
      <c r="R74" s="189"/>
      <c r="S74" s="189"/>
      <c r="T74" s="189"/>
      <c r="U74" s="189"/>
      <c r="V74" s="189"/>
      <c r="W74" s="189"/>
      <c r="X74" s="448"/>
      <c r="Y74" s="285"/>
      <c r="Z74" s="285"/>
      <c r="AA74" s="285"/>
      <c r="AB74" s="285"/>
      <c r="AC74" s="285"/>
      <c r="AD74" s="285"/>
      <c r="AE74" s="285"/>
      <c r="AF74" s="285"/>
      <c r="AG74" s="285"/>
      <c r="AH74" s="285"/>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65"/>
      <c r="BO74" s="65"/>
      <c r="BP74" s="65"/>
      <c r="BQ74" s="65"/>
      <c r="BR74" s="65"/>
      <c r="BS74" s="65"/>
      <c r="BT74" s="65"/>
      <c r="BU74" s="65"/>
      <c r="BW74" s="269"/>
      <c r="CF74" s="441"/>
    </row>
    <row r="75" spans="1:90" s="23" customFormat="1" ht="15.75" customHeight="1">
      <c r="A75" s="143"/>
      <c r="B75" s="99" t="s">
        <v>338</v>
      </c>
      <c r="C75" s="1366" t="str">
        <f>IF(D76=Units,"","ATTENTION: Total Units Entered Above Do Not Match # on Application!")</f>
        <v/>
      </c>
      <c r="D75" s="1366"/>
      <c r="E75" s="1366"/>
      <c r="F75" s="1366"/>
      <c r="G75" s="146"/>
      <c r="H75" s="111"/>
      <c r="I75" s="147" t="s">
        <v>217</v>
      </c>
      <c r="J75" s="147" t="s">
        <v>218</v>
      </c>
      <c r="K75" s="467"/>
      <c r="L75" s="468"/>
      <c r="M75" s="1049"/>
      <c r="N75" s="65"/>
      <c r="O75" s="65"/>
      <c r="P75" s="65"/>
      <c r="Q75" s="202"/>
      <c r="R75" s="189"/>
      <c r="S75" s="189"/>
      <c r="T75" s="189"/>
      <c r="U75" s="189"/>
      <c r="V75" s="189"/>
      <c r="W75" s="189"/>
      <c r="X75" s="448"/>
      <c r="Y75" s="285"/>
      <c r="Z75" s="285"/>
      <c r="AA75" s="285"/>
      <c r="AB75" s="285"/>
      <c r="AC75" s="285"/>
      <c r="AD75" s="28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65"/>
      <c r="BO75" s="65"/>
      <c r="BP75" s="65"/>
      <c r="BQ75" s="65"/>
      <c r="BR75" s="65"/>
      <c r="BS75" s="65"/>
      <c r="BT75" s="65"/>
      <c r="BU75" s="65"/>
      <c r="BW75" s="269"/>
      <c r="CF75" s="441"/>
    </row>
    <row r="76" spans="1:90" s="23" customFormat="1" ht="14.4">
      <c r="A76" s="143"/>
      <c r="B76" s="523" t="s">
        <v>222</v>
      </c>
      <c r="C76" s="278"/>
      <c r="D76" s="280">
        <f>C73+C66+C59+C52+C45</f>
        <v>0</v>
      </c>
      <c r="E76" s="1383" t="s">
        <v>322</v>
      </c>
      <c r="F76" s="1384"/>
      <c r="G76" s="1384"/>
      <c r="H76" s="1384"/>
      <c r="I76" s="344">
        <f>K73+K66+K59+K52+K45</f>
        <v>0</v>
      </c>
      <c r="J76" s="344">
        <f>L73+L66+L59+L52+L45</f>
        <v>0</v>
      </c>
      <c r="K76" s="65"/>
      <c r="L76" s="468"/>
      <c r="M76" s="1049"/>
      <c r="N76" s="65"/>
      <c r="O76" s="65"/>
      <c r="P76" s="65"/>
      <c r="Q76" s="202"/>
      <c r="R76" s="189"/>
      <c r="S76" s="189"/>
      <c r="T76" s="189"/>
      <c r="U76" s="189"/>
      <c r="V76" s="189"/>
      <c r="W76" s="189"/>
      <c r="X76" s="448"/>
      <c r="Y76" s="285"/>
      <c r="Z76" s="285"/>
      <c r="AA76" s="285"/>
      <c r="AB76" s="285"/>
      <c r="AC76" s="285"/>
      <c r="AD76" s="285"/>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65"/>
      <c r="BO76" s="65"/>
      <c r="BP76" s="65"/>
      <c r="BQ76" s="65"/>
      <c r="BR76" s="65"/>
      <c r="BS76" s="65"/>
      <c r="BT76" s="65"/>
      <c r="BU76" s="65"/>
      <c r="BW76" s="269"/>
      <c r="CF76" s="441"/>
    </row>
    <row r="77" spans="1:90" s="23" customFormat="1" ht="13.8">
      <c r="A77" s="143"/>
      <c r="B77" s="1177" t="s">
        <v>221</v>
      </c>
      <c r="C77" s="149"/>
      <c r="D77" s="1178">
        <f>SUM(O40:O72)</f>
        <v>0</v>
      </c>
      <c r="E77" s="150"/>
      <c r="F77" s="146"/>
      <c r="G77" s="146"/>
      <c r="H77" s="151" t="s">
        <v>220</v>
      </c>
      <c r="I77" s="294" t="str">
        <f>IFERROR(I76/Units,"-")</f>
        <v>-</v>
      </c>
      <c r="J77" s="294" t="str">
        <f>IFERROR(J76/Units,"-")</f>
        <v>-</v>
      </c>
      <c r="K77" s="65"/>
      <c r="L77" s="468"/>
      <c r="M77" s="1049"/>
      <c r="N77" s="65"/>
      <c r="O77" s="65"/>
      <c r="P77" s="65"/>
      <c r="Q77" s="202"/>
      <c r="R77" s="189"/>
      <c r="S77" s="189"/>
      <c r="T77" s="189"/>
      <c r="U77" s="189"/>
      <c r="V77" s="189"/>
      <c r="W77" s="189"/>
      <c r="X77" s="448"/>
      <c r="Y77" s="285"/>
      <c r="Z77" s="285"/>
      <c r="AA77" s="285"/>
      <c r="AB77" s="285"/>
      <c r="AC77" s="285"/>
      <c r="AD77" s="28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65"/>
      <c r="BO77" s="65"/>
      <c r="BP77" s="65"/>
      <c r="BQ77" s="65"/>
      <c r="BR77" s="65"/>
      <c r="BS77" s="65"/>
      <c r="BT77" s="65"/>
      <c r="BU77" s="65"/>
      <c r="BW77" s="269"/>
      <c r="BZ77" s="143"/>
      <c r="CA77" s="143"/>
      <c r="CB77" s="143"/>
      <c r="CC77" s="143"/>
      <c r="CF77" s="441"/>
    </row>
    <row r="78" spans="1:90" s="23" customFormat="1" ht="15" customHeight="1">
      <c r="A78" s="143"/>
      <c r="B78" s="524" t="s">
        <v>372</v>
      </c>
      <c r="C78" s="70"/>
      <c r="D78" s="309"/>
      <c r="E78" s="205"/>
      <c r="F78" s="1380" t="s">
        <v>336</v>
      </c>
      <c r="G78" s="1380"/>
      <c r="H78" s="1380"/>
      <c r="I78" s="214">
        <f>E45+E52+E59+E66+E73</f>
        <v>0</v>
      </c>
      <c r="J78" s="148"/>
      <c r="K78" s="65"/>
      <c r="L78" s="468"/>
      <c r="M78" s="1049"/>
      <c r="N78" s="65"/>
      <c r="O78" s="65"/>
      <c r="P78" s="65"/>
      <c r="Q78" s="202"/>
      <c r="R78" s="189"/>
      <c r="S78" s="189"/>
      <c r="T78" s="189"/>
      <c r="U78" s="189"/>
      <c r="V78" s="189"/>
      <c r="W78" s="189"/>
      <c r="X78" s="448"/>
      <c r="Y78" s="285"/>
      <c r="Z78" s="285"/>
      <c r="AA78" s="285"/>
      <c r="AB78" s="285"/>
      <c r="AC78" s="285"/>
      <c r="AD78" s="285"/>
      <c r="AE78" s="285"/>
      <c r="AF78" s="285"/>
      <c r="AG78" s="285"/>
      <c r="AH78" s="285"/>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c r="BM78" s="285"/>
      <c r="BN78" s="285"/>
      <c r="BO78" s="285"/>
      <c r="BP78" s="285"/>
      <c r="BQ78" s="285"/>
      <c r="BR78" s="285"/>
      <c r="BS78" s="285"/>
      <c r="BT78" s="285"/>
      <c r="BU78" s="285"/>
      <c r="BV78" s="285"/>
      <c r="BW78" s="65"/>
      <c r="BX78" s="65"/>
      <c r="BY78" s="65"/>
      <c r="BZ78" s="65"/>
      <c r="CA78" s="65"/>
      <c r="CB78" s="65"/>
      <c r="CC78" s="65"/>
      <c r="CD78" s="65"/>
      <c r="CF78" s="441"/>
      <c r="CI78" s="143"/>
      <c r="CJ78" s="143"/>
      <c r="CK78" s="143"/>
      <c r="CL78" s="143"/>
    </row>
    <row r="79" spans="1:90" s="23" customFormat="1" ht="15.75" customHeight="1">
      <c r="A79" s="143"/>
      <c r="B79" s="525" t="s">
        <v>202</v>
      </c>
      <c r="C79" s="152"/>
      <c r="D79" s="309"/>
      <c r="E79" s="150"/>
      <c r="F79" s="1381" t="s">
        <v>333</v>
      </c>
      <c r="G79" s="1381"/>
      <c r="H79" s="1381"/>
      <c r="I79" s="497">
        <f>SUM(P40:P72)</f>
        <v>0</v>
      </c>
      <c r="J79" s="111"/>
      <c r="K79" s="65"/>
      <c r="L79" s="65"/>
      <c r="M79" s="1051"/>
      <c r="N79" s="65"/>
      <c r="O79" s="65"/>
      <c r="P79" s="65"/>
      <c r="Q79" s="202"/>
      <c r="R79" s="189"/>
      <c r="S79" s="189"/>
      <c r="T79" s="189"/>
      <c r="U79" s="189"/>
      <c r="V79" s="189"/>
      <c r="W79" s="189"/>
      <c r="X79" s="448"/>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c r="BO79" s="285"/>
      <c r="BP79" s="285"/>
      <c r="BQ79" s="285"/>
      <c r="BR79" s="285"/>
      <c r="BS79" s="285"/>
      <c r="BT79" s="285"/>
      <c r="BU79" s="285"/>
      <c r="BV79" s="285"/>
      <c r="BW79" s="65"/>
      <c r="BX79" s="65"/>
      <c r="BY79" s="65"/>
      <c r="BZ79" s="65"/>
      <c r="CA79" s="65"/>
      <c r="CB79" s="65"/>
      <c r="CC79" s="65"/>
      <c r="CD79" s="65"/>
      <c r="CF79" s="441"/>
      <c r="CI79" s="143"/>
      <c r="CJ79" s="143"/>
      <c r="CK79" s="143"/>
      <c r="CL79" s="143"/>
    </row>
    <row r="80" spans="1:90" s="23" customFormat="1" ht="13.8">
      <c r="A80" s="143"/>
      <c r="B80" s="99" t="s">
        <v>203</v>
      </c>
      <c r="C80" s="153"/>
      <c r="D80" s="154">
        <f>SUM(D77:D79)</f>
        <v>0</v>
      </c>
      <c r="F80" s="71"/>
      <c r="K80" s="65"/>
      <c r="L80" s="65"/>
      <c r="M80" s="1049"/>
      <c r="N80" s="65"/>
      <c r="O80" s="65"/>
      <c r="P80" s="65"/>
      <c r="Q80" s="202"/>
      <c r="R80" s="189"/>
      <c r="S80" s="189"/>
      <c r="T80" s="189"/>
      <c r="U80" s="189"/>
      <c r="V80" s="189"/>
      <c r="W80" s="189"/>
      <c r="X80" s="448"/>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c r="BO80" s="285"/>
      <c r="BP80" s="285"/>
      <c r="BQ80" s="285"/>
      <c r="BR80" s="285"/>
      <c r="BS80" s="285"/>
      <c r="BT80" s="285"/>
      <c r="BU80" s="285"/>
      <c r="BV80" s="285"/>
      <c r="BW80" s="65"/>
      <c r="BX80" s="65"/>
      <c r="BY80" s="65"/>
      <c r="BZ80" s="65"/>
      <c r="CA80" s="65"/>
      <c r="CB80" s="65"/>
      <c r="CC80" s="65"/>
      <c r="CD80" s="65"/>
      <c r="CF80" s="441"/>
      <c r="CI80" s="143"/>
      <c r="CJ80" s="143"/>
      <c r="CK80" s="143"/>
      <c r="CL80" s="143"/>
    </row>
    <row r="81" spans="1:92" s="23" customFormat="1" ht="13.8">
      <c r="A81" s="143"/>
      <c r="B81" s="143"/>
      <c r="C81" s="71"/>
      <c r="D81" s="71"/>
      <c r="E81" s="71"/>
      <c r="F81" s="71"/>
      <c r="K81" s="65"/>
      <c r="L81" s="140"/>
      <c r="M81" s="1049"/>
      <c r="N81" s="65"/>
      <c r="O81" s="65"/>
      <c r="P81" s="65"/>
      <c r="Q81" s="202"/>
      <c r="R81" s="189"/>
      <c r="S81" s="189"/>
      <c r="T81" s="189"/>
      <c r="U81" s="189"/>
      <c r="V81" s="189"/>
      <c r="W81" s="189"/>
      <c r="X81" s="448"/>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5"/>
      <c r="BR81" s="285"/>
      <c r="BS81" s="285"/>
      <c r="BT81" s="285"/>
      <c r="BU81" s="285"/>
      <c r="BV81" s="285"/>
      <c r="BW81" s="65"/>
      <c r="BX81" s="65"/>
      <c r="BY81" s="65"/>
      <c r="BZ81" s="65"/>
      <c r="CA81" s="65"/>
      <c r="CB81" s="65"/>
      <c r="CC81" s="65"/>
      <c r="CD81" s="65"/>
      <c r="CF81" s="441"/>
      <c r="CI81" s="143"/>
      <c r="CJ81" s="143"/>
      <c r="CK81" s="143"/>
    </row>
    <row r="82" spans="1:92" s="23" customFormat="1" ht="21">
      <c r="A82" s="143"/>
      <c r="B82" s="513" t="s">
        <v>479</v>
      </c>
      <c r="C82" s="114"/>
      <c r="D82" s="107"/>
      <c r="E82" s="104"/>
      <c r="F82"/>
      <c r="G82"/>
      <c r="H82"/>
      <c r="I82" s="38"/>
      <c r="J82" s="38"/>
      <c r="K82" s="38"/>
      <c r="L82" s="140"/>
      <c r="M82" s="1049"/>
      <c r="N82" s="65"/>
      <c r="O82" s="65"/>
      <c r="P82" s="65"/>
      <c r="Q82" s="202"/>
      <c r="R82" s="189"/>
      <c r="S82" s="189"/>
      <c r="T82" s="189"/>
      <c r="U82" s="189"/>
      <c r="V82" s="189"/>
      <c r="W82" s="189"/>
      <c r="X82" s="448"/>
      <c r="Y82" s="285"/>
      <c r="Z82" s="285"/>
      <c r="AA82" s="285"/>
      <c r="AB82" s="285"/>
      <c r="AC82" s="285"/>
      <c r="AD82" s="285"/>
      <c r="AE82" s="285"/>
      <c r="AF82" s="285"/>
      <c r="AG82" s="285"/>
      <c r="AH82" s="285"/>
      <c r="AI82" s="285"/>
      <c r="AJ82" s="285"/>
      <c r="AK82" s="285"/>
      <c r="AL82" s="285"/>
      <c r="AM82" s="285"/>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5"/>
      <c r="BR82" s="285"/>
      <c r="BS82" s="285"/>
      <c r="BT82" s="285"/>
      <c r="BU82" s="285"/>
      <c r="BV82" s="285"/>
      <c r="BW82" s="65"/>
      <c r="BX82" s="65"/>
      <c r="BY82" s="65"/>
      <c r="BZ82" s="65"/>
      <c r="CA82" s="65"/>
      <c r="CB82" s="65"/>
      <c r="CC82" s="65"/>
      <c r="CD82" s="65"/>
      <c r="CF82" s="441"/>
      <c r="CI82" s="143"/>
      <c r="CJ82" s="143"/>
      <c r="CK82" s="143"/>
    </row>
    <row r="83" spans="1:92" s="23" customFormat="1" ht="8.4" customHeight="1">
      <c r="A83" s="143"/>
      <c r="B83" s="520"/>
      <c r="C83" s="114"/>
      <c r="D83" s="107"/>
      <c r="E83" s="104"/>
      <c r="F83"/>
      <c r="G83"/>
      <c r="H83"/>
      <c r="I83" s="38"/>
      <c r="J83" s="38"/>
      <c r="K83" s="38"/>
      <c r="L83" s="140"/>
      <c r="M83" s="1049"/>
      <c r="N83" s="65"/>
      <c r="O83" s="65"/>
      <c r="P83" s="65"/>
      <c r="Q83" s="202"/>
      <c r="R83" s="189"/>
      <c r="S83" s="189"/>
      <c r="T83" s="189"/>
      <c r="U83" s="189"/>
      <c r="V83" s="189"/>
      <c r="W83" s="189"/>
      <c r="X83" s="448"/>
      <c r="Y83" s="285"/>
      <c r="Z83" s="285"/>
      <c r="AA83" s="285"/>
      <c r="AB83" s="285"/>
      <c r="AC83" s="285"/>
      <c r="AD83" s="285"/>
      <c r="AE83" s="285"/>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5"/>
      <c r="BR83" s="285"/>
      <c r="BS83" s="285"/>
      <c r="BT83" s="285"/>
      <c r="BU83" s="285"/>
      <c r="BV83" s="285"/>
      <c r="BW83" s="65"/>
      <c r="BX83" s="65"/>
      <c r="BY83" s="65"/>
      <c r="BZ83" s="65"/>
      <c r="CA83" s="65"/>
      <c r="CB83" s="65"/>
      <c r="CC83" s="65"/>
      <c r="CD83" s="65"/>
      <c r="CF83" s="441"/>
      <c r="CI83" s="143"/>
      <c r="CJ83" s="143"/>
      <c r="CK83" s="143"/>
    </row>
    <row r="84" spans="1:92" s="23" customFormat="1">
      <c r="A84" s="143"/>
      <c r="B84" s="1389" t="s">
        <v>480</v>
      </c>
      <c r="C84" s="1389"/>
      <c r="D84" s="1389"/>
      <c r="E84" s="1022"/>
      <c r="F84" s="373" t="s">
        <v>482</v>
      </c>
      <c r="G84" s="1390"/>
      <c r="H84" s="1390"/>
      <c r="I84" s="1389" t="s">
        <v>481</v>
      </c>
      <c r="J84" s="1389"/>
      <c r="K84" s="918"/>
      <c r="L84" s="140"/>
      <c r="M84" s="1049"/>
      <c r="N84" s="65"/>
      <c r="O84" s="65"/>
      <c r="P84" s="65"/>
      <c r="Q84" s="202"/>
      <c r="R84" s="189"/>
      <c r="S84" s="189"/>
      <c r="T84" s="189"/>
      <c r="U84" s="189"/>
      <c r="V84" s="189"/>
      <c r="W84" s="189"/>
      <c r="X84" s="448"/>
      <c r="Y84" s="285"/>
      <c r="Z84" s="285"/>
      <c r="AA84" s="285"/>
      <c r="AB84" s="285"/>
      <c r="AC84" s="285"/>
      <c r="AD84" s="285"/>
      <c r="AE84" s="285"/>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285"/>
      <c r="BC84" s="285"/>
      <c r="BD84" s="285"/>
      <c r="BE84" s="285"/>
      <c r="BF84" s="285"/>
      <c r="BG84" s="285"/>
      <c r="BH84" s="285"/>
      <c r="BI84" s="285"/>
      <c r="BJ84" s="285"/>
      <c r="BK84" s="285"/>
      <c r="BL84" s="285"/>
      <c r="BM84" s="285"/>
      <c r="BN84" s="285"/>
      <c r="BO84" s="285"/>
      <c r="BP84" s="285"/>
      <c r="BQ84" s="285"/>
      <c r="BR84" s="285"/>
      <c r="BS84" s="285"/>
      <c r="BT84" s="285"/>
      <c r="BU84" s="285"/>
      <c r="BV84" s="285"/>
      <c r="BW84" s="65"/>
      <c r="BX84" s="65"/>
      <c r="BY84" s="65"/>
      <c r="BZ84" s="65"/>
      <c r="CA84" s="65"/>
      <c r="CB84" s="65"/>
      <c r="CC84" s="65"/>
      <c r="CD84" s="65"/>
      <c r="CF84" s="441"/>
      <c r="CI84" s="143"/>
      <c r="CJ84" s="143"/>
      <c r="CK84" s="143"/>
    </row>
    <row r="85" spans="1:92" s="23" customFormat="1" ht="13.8">
      <c r="A85" s="143"/>
      <c r="B85" s="143"/>
      <c r="C85" s="71"/>
      <c r="D85" s="71"/>
      <c r="E85" s="71"/>
      <c r="F85" s="71"/>
      <c r="K85" s="65"/>
      <c r="L85" s="140"/>
      <c r="M85" s="1049"/>
      <c r="N85" s="65"/>
      <c r="O85" s="65"/>
      <c r="P85" s="65"/>
      <c r="Q85" s="202"/>
      <c r="R85" s="189"/>
      <c r="S85" s="189"/>
      <c r="T85" s="189"/>
      <c r="U85" s="189"/>
      <c r="V85" s="189"/>
      <c r="W85" s="189"/>
      <c r="X85" s="448"/>
      <c r="Y85" s="285"/>
      <c r="Z85" s="285"/>
      <c r="AA85" s="285"/>
      <c r="AB85" s="285"/>
      <c r="AC85" s="285"/>
      <c r="AD85" s="285"/>
      <c r="AE85" s="285"/>
      <c r="AF85" s="285"/>
      <c r="AG85" s="285"/>
      <c r="AH85" s="285"/>
      <c r="AI85" s="285"/>
      <c r="AJ85" s="285"/>
      <c r="AK85" s="285"/>
      <c r="AL85" s="285"/>
      <c r="AM85" s="285"/>
      <c r="AN85" s="285"/>
      <c r="AO85" s="285"/>
      <c r="AP85" s="285"/>
      <c r="AQ85" s="285"/>
      <c r="AR85" s="285"/>
      <c r="AS85" s="285"/>
      <c r="AT85" s="285"/>
      <c r="AU85" s="285"/>
      <c r="AV85" s="285"/>
      <c r="AW85" s="285"/>
      <c r="AX85" s="285"/>
      <c r="AY85" s="285"/>
      <c r="AZ85" s="285"/>
      <c r="BA85" s="285"/>
      <c r="BB85" s="285"/>
      <c r="BC85" s="285"/>
      <c r="BD85" s="285"/>
      <c r="BE85" s="285"/>
      <c r="BF85" s="285"/>
      <c r="BG85" s="285"/>
      <c r="BH85" s="285"/>
      <c r="BI85" s="285"/>
      <c r="BJ85" s="285"/>
      <c r="BK85" s="285"/>
      <c r="BL85" s="285"/>
      <c r="BM85" s="285"/>
      <c r="BN85" s="285"/>
      <c r="BO85" s="285"/>
      <c r="BP85" s="285"/>
      <c r="BQ85" s="285"/>
      <c r="BR85" s="285"/>
      <c r="BS85" s="285"/>
      <c r="BT85" s="285"/>
      <c r="BU85" s="285"/>
      <c r="BV85" s="285"/>
      <c r="BW85" s="65"/>
      <c r="BX85" s="65"/>
      <c r="BY85" s="65"/>
      <c r="BZ85" s="65"/>
      <c r="CA85" s="65"/>
      <c r="CB85" s="65"/>
      <c r="CC85" s="65"/>
      <c r="CD85" s="65"/>
      <c r="CF85" s="441"/>
      <c r="CI85" s="143"/>
      <c r="CJ85" s="143"/>
      <c r="CK85" s="143"/>
    </row>
    <row r="86" spans="1:92" s="23" customFormat="1" ht="13.8">
      <c r="A86" s="143"/>
      <c r="B86" s="143"/>
      <c r="C86" s="71"/>
      <c r="D86" s="71"/>
      <c r="E86" s="71"/>
      <c r="F86" s="71"/>
      <c r="K86" s="65"/>
      <c r="L86" s="140"/>
      <c r="M86" s="1049"/>
      <c r="N86" s="65"/>
      <c r="O86" s="65"/>
      <c r="P86" s="65"/>
      <c r="Q86" s="202"/>
      <c r="R86" s="189"/>
      <c r="S86" s="189"/>
      <c r="T86" s="189"/>
      <c r="U86" s="189"/>
      <c r="V86" s="189"/>
      <c r="W86" s="189"/>
      <c r="X86" s="448"/>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285"/>
      <c r="AV86" s="285"/>
      <c r="AW86" s="285"/>
      <c r="AX86" s="285"/>
      <c r="AY86" s="285"/>
      <c r="AZ86" s="285"/>
      <c r="BA86" s="285"/>
      <c r="BB86" s="285"/>
      <c r="BC86" s="285"/>
      <c r="BD86" s="285"/>
      <c r="BE86" s="285"/>
      <c r="BF86" s="285"/>
      <c r="BG86" s="285"/>
      <c r="BH86" s="285"/>
      <c r="BI86" s="285"/>
      <c r="BJ86" s="285"/>
      <c r="BK86" s="285"/>
      <c r="BL86" s="285"/>
      <c r="BM86" s="285"/>
      <c r="BN86" s="285"/>
      <c r="BO86" s="285"/>
      <c r="BP86" s="285"/>
      <c r="BQ86" s="285"/>
      <c r="BR86" s="285"/>
      <c r="BS86" s="285"/>
      <c r="BT86" s="285"/>
      <c r="BU86" s="285"/>
      <c r="BV86" s="285"/>
      <c r="BW86" s="65"/>
      <c r="BX86" s="65"/>
      <c r="BY86" s="65"/>
      <c r="BZ86" s="65"/>
      <c r="CA86" s="65"/>
      <c r="CB86" s="65"/>
      <c r="CC86" s="65"/>
      <c r="CD86" s="65"/>
      <c r="CF86" s="441"/>
      <c r="CI86" s="143"/>
      <c r="CJ86" s="143"/>
      <c r="CK86" s="143"/>
    </row>
    <row r="87" spans="1:92" s="23" customFormat="1" ht="21">
      <c r="A87" s="143"/>
      <c r="B87" s="526" t="s">
        <v>167</v>
      </c>
      <c r="C87" s="111"/>
      <c r="D87" s="36" t="s">
        <v>436</v>
      </c>
      <c r="E87" s="146"/>
      <c r="F87" s="146"/>
      <c r="G87" s="146"/>
      <c r="H87" s="111"/>
      <c r="I87" s="146" t="s">
        <v>199</v>
      </c>
      <c r="J87" s="146" t="s">
        <v>200</v>
      </c>
      <c r="K87" s="142"/>
      <c r="L87" s="65"/>
      <c r="M87" s="1049"/>
      <c r="N87" s="65"/>
      <c r="O87" s="65"/>
      <c r="P87" s="65"/>
      <c r="Q87" s="65"/>
      <c r="R87" s="202"/>
      <c r="S87" s="189"/>
      <c r="T87" s="189"/>
      <c r="U87" s="189"/>
      <c r="V87" s="189"/>
      <c r="W87" s="189"/>
      <c r="X87" s="448"/>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c r="BN87" s="285"/>
      <c r="BO87" s="285"/>
      <c r="BP87" s="285"/>
      <c r="BQ87" s="285"/>
      <c r="BR87" s="285"/>
      <c r="BS87" s="285"/>
      <c r="BT87" s="285"/>
      <c r="BU87" s="285"/>
      <c r="BV87" s="285"/>
      <c r="BW87" s="65"/>
      <c r="BX87" s="65"/>
      <c r="BY87" s="65"/>
      <c r="BZ87" s="65"/>
      <c r="CA87" s="65"/>
      <c r="CB87" s="65"/>
      <c r="CC87" s="65"/>
      <c r="CD87" s="65"/>
      <c r="CF87" s="441"/>
      <c r="CG87" s="269"/>
      <c r="CI87" s="143"/>
      <c r="CJ87" s="143"/>
      <c r="CK87" s="143"/>
      <c r="CL87" s="143"/>
      <c r="CM87" s="143"/>
      <c r="CN87" s="143"/>
    </row>
    <row r="88" spans="1:92" s="23" customFormat="1" ht="14.4">
      <c r="A88" s="143"/>
      <c r="B88" s="524" t="s">
        <v>215</v>
      </c>
      <c r="C88" s="71"/>
      <c r="D88" s="1382"/>
      <c r="E88" s="1382"/>
      <c r="F88" s="155"/>
      <c r="G88" s="155"/>
      <c r="I88" s="303"/>
      <c r="J88" s="124">
        <f t="shared" ref="J88:J93" si="0">I88*12</f>
        <v>0</v>
      </c>
      <c r="K88" s="142"/>
      <c r="L88" s="65"/>
      <c r="M88" s="1049"/>
      <c r="N88" s="65"/>
      <c r="O88" s="65"/>
      <c r="P88" s="65"/>
      <c r="Q88" s="65"/>
      <c r="R88" s="202"/>
      <c r="S88" s="189"/>
      <c r="T88" s="189"/>
      <c r="U88" s="189"/>
      <c r="V88" s="189"/>
      <c r="W88" s="189"/>
      <c r="X88" s="448"/>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c r="BO88" s="285"/>
      <c r="BP88" s="285"/>
      <c r="BQ88" s="285"/>
      <c r="BR88" s="285"/>
      <c r="BS88" s="285"/>
      <c r="BT88" s="285"/>
      <c r="BU88" s="285"/>
      <c r="BV88" s="285"/>
      <c r="BW88" s="65"/>
      <c r="BX88" s="65"/>
      <c r="BY88" s="65"/>
      <c r="BZ88" s="65"/>
      <c r="CA88" s="65"/>
      <c r="CB88" s="65"/>
      <c r="CC88" s="65"/>
      <c r="CD88" s="65"/>
      <c r="CF88" s="441"/>
      <c r="CG88" s="269"/>
      <c r="CI88" s="143"/>
      <c r="CJ88" s="143"/>
      <c r="CK88" s="143"/>
      <c r="CL88" s="143"/>
      <c r="CM88" s="143"/>
      <c r="CN88" s="143"/>
    </row>
    <row r="89" spans="1:92" s="23" customFormat="1" ht="13.8">
      <c r="A89" s="143"/>
      <c r="B89" s="524" t="s">
        <v>3</v>
      </c>
      <c r="C89" s="71"/>
      <c r="D89" s="71"/>
      <c r="E89" s="71"/>
      <c r="F89" s="71"/>
      <c r="G89" s="71"/>
      <c r="I89" s="303"/>
      <c r="J89" s="124">
        <f t="shared" si="0"/>
        <v>0</v>
      </c>
      <c r="K89" s="142"/>
      <c r="L89" s="65"/>
      <c r="M89" s="1049"/>
      <c r="N89" s="65"/>
      <c r="O89" s="65"/>
      <c r="P89" s="65"/>
      <c r="Q89" s="65"/>
      <c r="R89" s="202"/>
      <c r="S89" s="189"/>
      <c r="T89" s="189"/>
      <c r="U89" s="189"/>
      <c r="V89" s="189"/>
      <c r="W89" s="189"/>
      <c r="X89" s="448"/>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5"/>
      <c r="BR89" s="285"/>
      <c r="BS89" s="285"/>
      <c r="BT89" s="285"/>
      <c r="BU89" s="285"/>
      <c r="BV89" s="285"/>
      <c r="BW89" s="65"/>
      <c r="BX89" s="65"/>
      <c r="BY89" s="65"/>
      <c r="BZ89" s="65"/>
      <c r="CA89" s="65"/>
      <c r="CB89" s="65"/>
      <c r="CC89" s="65"/>
      <c r="CD89" s="65"/>
      <c r="CF89" s="441"/>
      <c r="CG89" s="269"/>
      <c r="CI89" s="143"/>
      <c r="CJ89" s="143"/>
      <c r="CK89" s="143"/>
      <c r="CL89" s="143"/>
    </row>
    <row r="90" spans="1:92" s="23" customFormat="1" ht="13.8">
      <c r="A90" s="143"/>
      <c r="B90" s="524" t="s">
        <v>201</v>
      </c>
      <c r="C90" s="71"/>
      <c r="D90" s="71"/>
      <c r="E90" s="71"/>
      <c r="F90" s="71"/>
      <c r="G90" s="71"/>
      <c r="I90" s="303"/>
      <c r="J90" s="124">
        <f t="shared" si="0"/>
        <v>0</v>
      </c>
      <c r="K90" s="142"/>
      <c r="L90" s="65"/>
      <c r="M90" s="1049"/>
      <c r="N90" s="65"/>
      <c r="O90" s="65"/>
      <c r="P90" s="65"/>
      <c r="Q90" s="65"/>
      <c r="R90" s="202"/>
      <c r="S90" s="189"/>
      <c r="T90" s="189"/>
      <c r="U90" s="189"/>
      <c r="V90" s="189"/>
      <c r="W90" s="189"/>
      <c r="X90" s="448"/>
      <c r="Y90" s="285"/>
      <c r="Z90" s="285"/>
      <c r="AA90" s="285"/>
      <c r="AB90" s="285"/>
      <c r="AC90" s="285"/>
      <c r="AD90" s="285"/>
      <c r="AE90" s="285"/>
      <c r="AF90" s="285"/>
      <c r="AG90" s="285"/>
      <c r="AH90" s="285"/>
      <c r="AI90" s="285"/>
      <c r="AJ90" s="285"/>
      <c r="AK90" s="285"/>
      <c r="AL90" s="285"/>
      <c r="AM90" s="285"/>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5"/>
      <c r="BR90" s="285"/>
      <c r="BS90" s="285"/>
      <c r="BT90" s="285"/>
      <c r="BU90" s="285"/>
      <c r="BV90" s="285"/>
      <c r="BW90" s="65"/>
      <c r="BX90" s="65"/>
      <c r="BY90" s="65"/>
      <c r="BZ90" s="65"/>
      <c r="CA90" s="65"/>
      <c r="CB90" s="65"/>
      <c r="CC90" s="65"/>
      <c r="CD90" s="65"/>
      <c r="CF90" s="441"/>
      <c r="CG90" s="269"/>
      <c r="CI90" s="143"/>
      <c r="CJ90" s="143"/>
      <c r="CK90" s="143"/>
      <c r="CL90" s="143"/>
    </row>
    <row r="91" spans="1:92" s="23" customFormat="1" ht="13.8">
      <c r="A91" s="143"/>
      <c r="B91" s="524" t="s">
        <v>204</v>
      </c>
      <c r="C91" s="71"/>
      <c r="D91" s="71"/>
      <c r="E91" s="156"/>
      <c r="F91" s="124"/>
      <c r="G91" s="124"/>
      <c r="I91" s="303"/>
      <c r="J91" s="124">
        <f t="shared" si="0"/>
        <v>0</v>
      </c>
      <c r="K91" s="142"/>
      <c r="L91" s="65"/>
      <c r="M91" s="1049"/>
      <c r="N91" s="65"/>
      <c r="O91" s="65"/>
      <c r="P91" s="65"/>
      <c r="Q91" s="65"/>
      <c r="R91" s="202"/>
      <c r="S91" s="189"/>
      <c r="T91" s="189"/>
      <c r="U91" s="189"/>
      <c r="V91" s="189"/>
      <c r="W91" s="189"/>
      <c r="X91" s="448"/>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c r="BR91" s="285"/>
      <c r="BS91" s="285"/>
      <c r="BT91" s="285"/>
      <c r="BU91" s="285"/>
      <c r="BV91" s="285"/>
      <c r="BW91" s="65"/>
      <c r="BX91" s="65"/>
      <c r="BY91" s="65"/>
      <c r="BZ91" s="65"/>
      <c r="CA91" s="65"/>
      <c r="CB91" s="65"/>
      <c r="CC91" s="65"/>
      <c r="CD91" s="65"/>
      <c r="CF91" s="441"/>
      <c r="CG91" s="269"/>
      <c r="CI91" s="143"/>
      <c r="CJ91" s="143"/>
      <c r="CK91" s="143"/>
      <c r="CL91" s="143"/>
    </row>
    <row r="92" spans="1:92" s="23" customFormat="1" ht="13.8">
      <c r="A92" s="143"/>
      <c r="B92" s="524" t="s">
        <v>701</v>
      </c>
      <c r="C92" s="71"/>
      <c r="D92" s="71"/>
      <c r="E92" s="71"/>
      <c r="F92" s="71"/>
      <c r="G92" s="71"/>
      <c r="I92" s="303"/>
      <c r="J92" s="124">
        <f t="shared" si="0"/>
        <v>0</v>
      </c>
      <c r="K92" s="142"/>
      <c r="L92" s="65"/>
      <c r="M92" s="1049"/>
      <c r="N92" s="65"/>
      <c r="O92" s="65"/>
      <c r="P92" s="65"/>
      <c r="Q92" s="65"/>
      <c r="R92" s="202"/>
      <c r="S92" s="189"/>
      <c r="T92" s="189"/>
      <c r="U92" s="189"/>
      <c r="V92" s="189"/>
      <c r="W92" s="189"/>
      <c r="X92" s="448"/>
      <c r="Y92" s="285"/>
      <c r="Z92" s="285"/>
      <c r="AA92" s="285"/>
      <c r="AB92" s="285"/>
      <c r="AC92" s="285"/>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c r="BM92" s="285"/>
      <c r="BN92" s="285"/>
      <c r="BO92" s="285"/>
      <c r="BP92" s="285"/>
      <c r="BQ92" s="285"/>
      <c r="BR92" s="285"/>
      <c r="BS92" s="285"/>
      <c r="BT92" s="285"/>
      <c r="BU92" s="285"/>
      <c r="BV92" s="285"/>
      <c r="BW92" s="65"/>
      <c r="BX92" s="65"/>
      <c r="BY92" s="65"/>
      <c r="BZ92" s="65"/>
      <c r="CA92" s="65"/>
      <c r="CB92" s="65"/>
      <c r="CC92" s="65"/>
      <c r="CD92" s="65"/>
      <c r="CF92" s="441"/>
      <c r="CG92" s="269"/>
      <c r="CI92" s="143"/>
      <c r="CJ92" s="143"/>
      <c r="CK92" s="143"/>
      <c r="CL92" s="143"/>
    </row>
    <row r="93" spans="1:92" s="23" customFormat="1" ht="13.8">
      <c r="A93" s="143"/>
      <c r="B93" s="525" t="s">
        <v>554</v>
      </c>
      <c r="C93" s="1388"/>
      <c r="D93" s="1388"/>
      <c r="E93" s="146"/>
      <c r="F93" s="146"/>
      <c r="G93" s="146"/>
      <c r="H93" s="111"/>
      <c r="I93" s="303"/>
      <c r="J93" s="294">
        <f t="shared" si="0"/>
        <v>0</v>
      </c>
      <c r="K93" s="65"/>
      <c r="L93" s="65"/>
      <c r="M93" s="1049"/>
      <c r="N93" s="65"/>
      <c r="O93" s="65"/>
      <c r="P93" s="65"/>
      <c r="Q93" s="65"/>
      <c r="R93" s="202"/>
      <c r="S93" s="189"/>
      <c r="T93" s="189"/>
      <c r="U93" s="189"/>
      <c r="V93" s="189"/>
      <c r="W93" s="189"/>
      <c r="X93" s="448"/>
      <c r="Y93" s="285"/>
      <c r="Z93" s="285"/>
      <c r="AA93" s="285"/>
      <c r="AB93" s="285"/>
      <c r="AC93" s="285"/>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c r="BM93" s="285"/>
      <c r="BN93" s="285"/>
      <c r="BO93" s="285"/>
      <c r="BP93" s="285"/>
      <c r="BQ93" s="285"/>
      <c r="BR93" s="285"/>
      <c r="BS93" s="285"/>
      <c r="BT93" s="285"/>
      <c r="BU93" s="285"/>
      <c r="BV93" s="285"/>
      <c r="BW93" s="65"/>
      <c r="BX93" s="65"/>
      <c r="BY93" s="65"/>
      <c r="BZ93" s="65"/>
      <c r="CA93" s="65"/>
      <c r="CB93" s="65"/>
      <c r="CC93" s="65"/>
      <c r="CD93" s="65"/>
      <c r="CF93" s="441"/>
      <c r="CG93" s="269"/>
      <c r="CI93" s="143"/>
      <c r="CJ93" s="143"/>
      <c r="CK93" s="143"/>
      <c r="CL93" s="143"/>
    </row>
    <row r="94" spans="1:92" s="23" customFormat="1" ht="13.8">
      <c r="A94" s="143"/>
      <c r="B94" s="527"/>
      <c r="C94" s="279"/>
      <c r="D94" s="279"/>
      <c r="E94" s="279"/>
      <c r="F94" s="279"/>
      <c r="G94" s="279"/>
      <c r="H94" s="275" t="s">
        <v>238</v>
      </c>
      <c r="I94" s="124">
        <f>SUM(I88:I93)</f>
        <v>0</v>
      </c>
      <c r="J94" s="124">
        <f>SUM(J88:J93)</f>
        <v>0</v>
      </c>
      <c r="K94" s="65"/>
      <c r="L94" s="65"/>
      <c r="M94" s="1049"/>
      <c r="N94" s="65"/>
      <c r="O94" s="65"/>
      <c r="P94" s="65"/>
      <c r="Q94" s="65"/>
      <c r="R94" s="202"/>
      <c r="S94" s="189"/>
      <c r="T94" s="189"/>
      <c r="U94" s="189"/>
      <c r="V94" s="189"/>
      <c r="W94" s="189"/>
      <c r="X94" s="448"/>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c r="BM94" s="285"/>
      <c r="BN94" s="285"/>
      <c r="BO94" s="285"/>
      <c r="BP94" s="285"/>
      <c r="BQ94" s="285"/>
      <c r="BR94" s="285"/>
      <c r="BS94" s="285"/>
      <c r="BT94" s="285"/>
      <c r="BU94" s="285"/>
      <c r="BV94" s="285"/>
      <c r="BW94" s="65"/>
      <c r="BX94" s="65"/>
      <c r="BY94" s="65"/>
      <c r="BZ94" s="65"/>
      <c r="CA94" s="65"/>
      <c r="CB94" s="65"/>
      <c r="CC94" s="65"/>
      <c r="CD94" s="65"/>
      <c r="CF94" s="441"/>
      <c r="CG94" s="269"/>
      <c r="CI94" s="143"/>
      <c r="CJ94" s="143"/>
      <c r="CK94" s="143"/>
      <c r="CL94" s="143"/>
    </row>
    <row r="95" spans="1:92" s="23" customFormat="1" ht="14.4">
      <c r="A95" s="143"/>
      <c r="B95" s="143"/>
      <c r="C95" s="35"/>
      <c r="D95" s="71"/>
      <c r="E95" s="71"/>
      <c r="F95" s="71"/>
      <c r="G95" s="71"/>
      <c r="H95" s="71"/>
      <c r="J95" s="112"/>
      <c r="K95" s="142"/>
      <c r="L95" s="142"/>
      <c r="M95" s="1049"/>
      <c r="N95" s="65"/>
      <c r="O95" s="65"/>
      <c r="P95" s="65"/>
      <c r="Q95" s="202"/>
      <c r="R95" s="189"/>
      <c r="S95" s="189"/>
      <c r="T95" s="189"/>
      <c r="U95" s="189"/>
      <c r="V95" s="189"/>
      <c r="W95" s="189"/>
      <c r="X95" s="448"/>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285"/>
      <c r="BC95" s="285"/>
      <c r="BD95" s="285"/>
      <c r="BE95" s="285"/>
      <c r="BF95" s="285"/>
      <c r="BG95" s="285"/>
      <c r="BH95" s="285"/>
      <c r="BI95" s="285"/>
      <c r="BJ95" s="285"/>
      <c r="BK95" s="285"/>
      <c r="BL95" s="285"/>
      <c r="BM95" s="285"/>
      <c r="BN95" s="285"/>
      <c r="BO95" s="285"/>
      <c r="BP95" s="285"/>
      <c r="BQ95" s="285"/>
      <c r="BR95" s="285"/>
      <c r="BS95" s="285"/>
      <c r="BT95" s="285"/>
      <c r="BU95" s="285"/>
      <c r="BV95" s="285"/>
      <c r="BW95" s="65"/>
      <c r="BX95" s="65"/>
      <c r="BY95" s="65"/>
      <c r="BZ95" s="65"/>
      <c r="CA95" s="65"/>
      <c r="CB95" s="65"/>
      <c r="CC95" s="65"/>
      <c r="CD95" s="65"/>
      <c r="CF95" s="441"/>
      <c r="CG95" s="143"/>
      <c r="CH95" s="143"/>
      <c r="CI95" s="143"/>
    </row>
    <row r="96" spans="1:92" s="23" customFormat="1" ht="17.399999999999999">
      <c r="A96" s="143"/>
      <c r="B96" s="528" t="s">
        <v>485</v>
      </c>
      <c r="C96" s="36"/>
      <c r="D96" s="111"/>
      <c r="E96" s="146" t="s">
        <v>86</v>
      </c>
      <c r="F96" s="146" t="s">
        <v>432</v>
      </c>
      <c r="G96" s="146" t="s">
        <v>433</v>
      </c>
      <c r="H96" s="146" t="s">
        <v>87</v>
      </c>
      <c r="I96" s="157" t="s">
        <v>88</v>
      </c>
      <c r="J96" s="112"/>
      <c r="K96" s="65"/>
      <c r="L96" s="65"/>
      <c r="M96" s="1048"/>
      <c r="N96" s="65"/>
      <c r="O96" s="65"/>
      <c r="P96" s="65"/>
      <c r="Q96" s="202"/>
      <c r="R96" s="189"/>
      <c r="S96" s="189"/>
      <c r="T96" s="189"/>
      <c r="U96" s="189"/>
      <c r="V96" s="189"/>
      <c r="W96" s="189"/>
      <c r="X96" s="448"/>
      <c r="Y96" s="285"/>
      <c r="Z96" s="285"/>
      <c r="AA96" s="285"/>
      <c r="AB96" s="285"/>
      <c r="AC96" s="285"/>
      <c r="AD96" s="285"/>
      <c r="AE96" s="285"/>
      <c r="AF96" s="285"/>
      <c r="AG96" s="285"/>
      <c r="AH96" s="285"/>
      <c r="AI96" s="285"/>
      <c r="AJ96" s="285"/>
      <c r="AK96" s="285"/>
      <c r="AL96" s="285"/>
      <c r="AM96" s="285"/>
      <c r="AN96" s="285"/>
      <c r="AO96" s="285"/>
      <c r="AP96" s="285"/>
      <c r="AQ96" s="285"/>
      <c r="AR96" s="285"/>
      <c r="AS96" s="285"/>
      <c r="AT96" s="285"/>
      <c r="AU96" s="285"/>
      <c r="AV96" s="285"/>
      <c r="AW96" s="285"/>
      <c r="AX96" s="285"/>
      <c r="AY96" s="285"/>
      <c r="AZ96" s="285"/>
      <c r="BA96" s="285"/>
      <c r="BB96" s="285"/>
      <c r="BC96" s="285"/>
      <c r="BD96" s="285"/>
      <c r="BE96" s="285"/>
      <c r="BF96" s="285"/>
      <c r="BG96" s="285"/>
      <c r="BH96" s="285"/>
      <c r="BI96" s="285"/>
      <c r="BJ96" s="285"/>
      <c r="BK96" s="285"/>
      <c r="BL96" s="285"/>
      <c r="BM96" s="285"/>
      <c r="BN96" s="285"/>
      <c r="BO96" s="285"/>
      <c r="BP96" s="285"/>
      <c r="BQ96" s="285"/>
      <c r="BR96" s="285"/>
      <c r="BS96" s="285"/>
      <c r="BT96" s="285"/>
      <c r="BU96" s="285"/>
      <c r="BV96" s="285"/>
      <c r="BW96" s="65"/>
      <c r="BX96" s="65"/>
      <c r="BY96" s="65"/>
      <c r="BZ96" s="65"/>
      <c r="CA96" s="65"/>
      <c r="CB96" s="65"/>
      <c r="CC96" s="65"/>
      <c r="CD96" s="65"/>
      <c r="CF96" s="441"/>
      <c r="CG96" s="143"/>
      <c r="CH96" s="143"/>
      <c r="CI96" s="143"/>
    </row>
    <row r="97" spans="1:89" s="23" customFormat="1">
      <c r="A97" s="143"/>
      <c r="B97" s="524" t="s">
        <v>235</v>
      </c>
      <c r="C97" s="1387"/>
      <c r="D97" s="1387"/>
      <c r="E97" s="303"/>
      <c r="F97" s="303"/>
      <c r="G97" s="303"/>
      <c r="H97" s="303"/>
      <c r="I97" s="345"/>
      <c r="J97" s="112"/>
      <c r="K97" s="65"/>
      <c r="L97" s="65"/>
      <c r="M97" s="1048"/>
      <c r="N97" s="65"/>
      <c r="O97" s="65"/>
      <c r="P97" s="65"/>
      <c r="Q97" s="202"/>
      <c r="R97" s="189"/>
      <c r="S97" s="189"/>
      <c r="T97" s="189"/>
      <c r="U97" s="189"/>
      <c r="V97" s="189"/>
      <c r="W97" s="189"/>
      <c r="X97" s="448"/>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5"/>
      <c r="BA97" s="285"/>
      <c r="BB97" s="285"/>
      <c r="BC97" s="285"/>
      <c r="BD97" s="285"/>
      <c r="BE97" s="285"/>
      <c r="BF97" s="285"/>
      <c r="BG97" s="285"/>
      <c r="BH97" s="285"/>
      <c r="BI97" s="285"/>
      <c r="BJ97" s="285"/>
      <c r="BK97" s="285"/>
      <c r="BL97" s="285"/>
      <c r="BM97" s="285"/>
      <c r="BN97" s="285"/>
      <c r="BO97" s="285"/>
      <c r="BP97" s="285"/>
      <c r="BQ97" s="285"/>
      <c r="BR97" s="285"/>
      <c r="BS97" s="285"/>
      <c r="BT97" s="285"/>
      <c r="BU97" s="285"/>
      <c r="BV97" s="285"/>
      <c r="BW97" s="65"/>
      <c r="BX97" s="65"/>
      <c r="BY97" s="65"/>
      <c r="BZ97" s="65"/>
      <c r="CA97" s="65"/>
      <c r="CB97" s="65"/>
      <c r="CC97" s="65"/>
      <c r="CD97" s="65"/>
      <c r="CF97" s="441"/>
      <c r="CG97" s="143"/>
      <c r="CH97" s="143"/>
      <c r="CI97" s="143"/>
    </row>
    <row r="98" spans="1:89" s="23" customFormat="1">
      <c r="A98" s="143"/>
      <c r="B98" s="524" t="s">
        <v>236</v>
      </c>
      <c r="C98" s="1385"/>
      <c r="D98" s="1386"/>
      <c r="E98" s="303"/>
      <c r="F98" s="303"/>
      <c r="G98" s="303"/>
      <c r="H98" s="303"/>
      <c r="I98" s="345"/>
      <c r="J98" s="112"/>
      <c r="K98" s="65"/>
      <c r="L98" s="65"/>
      <c r="M98" s="1048"/>
      <c r="N98" s="65"/>
      <c r="O98" s="65"/>
      <c r="P98" s="65"/>
      <c r="Q98" s="202"/>
      <c r="R98" s="189"/>
      <c r="S98" s="189"/>
      <c r="T98" s="189"/>
      <c r="U98" s="189"/>
      <c r="V98" s="189"/>
      <c r="W98" s="189"/>
      <c r="X98" s="448"/>
      <c r="Y98" s="285"/>
      <c r="Z98" s="285"/>
      <c r="AA98" s="285"/>
      <c r="AB98" s="285"/>
      <c r="AC98" s="285"/>
      <c r="AD98" s="285"/>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285"/>
      <c r="BD98" s="285"/>
      <c r="BE98" s="285"/>
      <c r="BF98" s="285"/>
      <c r="BG98" s="285"/>
      <c r="BH98" s="285"/>
      <c r="BI98" s="285"/>
      <c r="BJ98" s="285"/>
      <c r="BK98" s="285"/>
      <c r="BL98" s="285"/>
      <c r="BM98" s="285"/>
      <c r="BN98" s="285"/>
      <c r="BO98" s="285"/>
      <c r="BP98" s="285"/>
      <c r="BQ98" s="285"/>
      <c r="BR98" s="285"/>
      <c r="BS98" s="285"/>
      <c r="BT98" s="285"/>
      <c r="BU98" s="285"/>
      <c r="BV98" s="285"/>
      <c r="BW98" s="65"/>
      <c r="BX98" s="65"/>
      <c r="BY98" s="65"/>
      <c r="BZ98" s="65"/>
      <c r="CA98" s="65"/>
      <c r="CB98" s="65"/>
      <c r="CC98" s="65"/>
      <c r="CD98" s="65"/>
      <c r="CF98" s="441"/>
      <c r="CG98" s="143"/>
      <c r="CH98" s="143"/>
      <c r="CI98" s="143"/>
      <c r="CJ98" s="143"/>
      <c r="CK98" s="143"/>
    </row>
    <row r="99" spans="1:89" s="23" customFormat="1">
      <c r="A99" s="143"/>
      <c r="B99" s="525" t="s">
        <v>237</v>
      </c>
      <c r="C99" s="1385"/>
      <c r="D99" s="1386"/>
      <c r="E99" s="303"/>
      <c r="F99" s="303"/>
      <c r="G99" s="303"/>
      <c r="H99" s="303"/>
      <c r="I99" s="345"/>
      <c r="J99" s="112"/>
      <c r="K99" s="65"/>
      <c r="L99" s="65"/>
      <c r="M99" s="1048"/>
      <c r="N99" s="65"/>
      <c r="O99" s="65"/>
      <c r="P99" s="65"/>
      <c r="Q99" s="202"/>
      <c r="R99" s="189"/>
      <c r="S99" s="189"/>
      <c r="T99" s="189"/>
      <c r="U99" s="189"/>
      <c r="V99" s="189"/>
      <c r="W99" s="189"/>
      <c r="X99" s="448"/>
      <c r="Y99" s="285"/>
      <c r="Z99" s="285"/>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85"/>
      <c r="AY99" s="285"/>
      <c r="AZ99" s="285"/>
      <c r="BA99" s="285"/>
      <c r="BB99" s="285"/>
      <c r="BC99" s="285"/>
      <c r="BD99" s="285"/>
      <c r="BE99" s="285"/>
      <c r="BF99" s="285"/>
      <c r="BG99" s="285"/>
      <c r="BH99" s="285"/>
      <c r="BI99" s="285"/>
      <c r="BJ99" s="285"/>
      <c r="BK99" s="285"/>
      <c r="BL99" s="285"/>
      <c r="BM99" s="285"/>
      <c r="BN99" s="285"/>
      <c r="BO99" s="285"/>
      <c r="BP99" s="285"/>
      <c r="BQ99" s="285"/>
      <c r="BR99" s="285"/>
      <c r="BS99" s="285"/>
      <c r="BT99" s="285"/>
      <c r="BU99" s="285"/>
      <c r="BV99" s="285"/>
      <c r="BW99" s="65"/>
      <c r="BX99" s="65"/>
      <c r="BY99" s="65"/>
      <c r="BZ99" s="65"/>
      <c r="CA99" s="65"/>
      <c r="CB99" s="65"/>
      <c r="CC99" s="65"/>
      <c r="CD99" s="65"/>
      <c r="CF99" s="441"/>
      <c r="CG99" s="143"/>
      <c r="CH99" s="143"/>
      <c r="CI99" s="143"/>
      <c r="CJ99" s="143"/>
      <c r="CK99" s="143"/>
    </row>
    <row r="100" spans="1:89" s="23" customFormat="1">
      <c r="A100" s="143"/>
      <c r="B100" s="1379" t="s">
        <v>373</v>
      </c>
      <c r="C100" s="1379"/>
      <c r="D100" s="1379"/>
      <c r="E100" s="346">
        <f>SUM(E97:E99)</f>
        <v>0</v>
      </c>
      <c r="F100" s="346">
        <f>SUM(F97:F99)</f>
        <v>0</v>
      </c>
      <c r="G100" s="346">
        <f>SUM(G97:G99)</f>
        <v>0</v>
      </c>
      <c r="H100" s="346">
        <f>SUM(H97:H99)</f>
        <v>0</v>
      </c>
      <c r="I100" s="346">
        <f>SUM(I97:I99)</f>
        <v>0</v>
      </c>
      <c r="J100" s="98"/>
      <c r="K100" s="101"/>
      <c r="L100" s="101"/>
      <c r="M100" s="1048"/>
      <c r="N100" s="101"/>
      <c r="O100" s="101"/>
      <c r="P100" s="101"/>
      <c r="Q100" s="202"/>
      <c r="R100" s="189"/>
      <c r="S100" s="189"/>
      <c r="T100" s="189"/>
      <c r="U100" s="189"/>
      <c r="V100" s="189"/>
      <c r="W100" s="189"/>
      <c r="X100" s="448"/>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c r="BO100" s="285"/>
      <c r="BP100" s="285"/>
      <c r="BQ100" s="285"/>
      <c r="BR100" s="285"/>
      <c r="BS100" s="285"/>
      <c r="BT100" s="285"/>
      <c r="BU100" s="285"/>
      <c r="BV100" s="285"/>
      <c r="BW100" s="65"/>
      <c r="BX100" s="65"/>
      <c r="BY100" s="65"/>
      <c r="BZ100" s="65"/>
      <c r="CA100" s="65"/>
      <c r="CB100" s="65"/>
      <c r="CC100" s="65"/>
      <c r="CD100" s="189"/>
      <c r="CE100" s="143"/>
      <c r="CF100" s="441"/>
      <c r="CG100" s="143"/>
    </row>
    <row r="101" spans="1:89" s="23" customFormat="1" ht="15.6">
      <c r="A101" s="143"/>
      <c r="B101" s="522"/>
      <c r="C101" s="71"/>
      <c r="D101" s="71"/>
      <c r="E101" s="71"/>
      <c r="F101" s="71"/>
      <c r="G101" s="71"/>
      <c r="I101" s="112"/>
      <c r="J101" s="112"/>
      <c r="K101" s="142"/>
      <c r="L101" s="142"/>
      <c r="M101" s="1048"/>
      <c r="N101" s="65"/>
      <c r="O101" s="65"/>
      <c r="P101" s="65"/>
      <c r="Q101" s="202"/>
      <c r="R101" s="189"/>
      <c r="S101" s="189"/>
      <c r="T101" s="189"/>
      <c r="U101" s="189"/>
      <c r="V101" s="189"/>
      <c r="W101" s="189"/>
      <c r="X101" s="448"/>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285"/>
      <c r="BR101" s="285"/>
      <c r="BS101" s="285"/>
      <c r="BT101" s="285"/>
      <c r="BU101" s="285"/>
      <c r="BV101" s="285"/>
      <c r="BW101" s="65"/>
      <c r="BX101" s="65"/>
      <c r="BY101" s="65"/>
      <c r="BZ101" s="65"/>
      <c r="CA101" s="65"/>
      <c r="CB101" s="65"/>
      <c r="CC101" s="189"/>
      <c r="CD101" s="189"/>
      <c r="CE101" s="143"/>
      <c r="CF101" s="441"/>
    </row>
    <row r="102" spans="1:89" s="23" customFormat="1">
      <c r="A102" s="143"/>
      <c r="B102" s="143"/>
      <c r="K102" s="65"/>
      <c r="L102" s="65"/>
      <c r="M102" s="1048"/>
      <c r="N102" s="65"/>
      <c r="O102" s="65"/>
      <c r="P102" s="65"/>
      <c r="Q102" s="202"/>
      <c r="R102" s="189"/>
      <c r="S102" s="189"/>
      <c r="T102" s="189"/>
      <c r="U102" s="189"/>
      <c r="V102" s="189"/>
      <c r="W102" s="189"/>
      <c r="X102" s="448"/>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c r="BO102" s="285"/>
      <c r="BP102" s="285"/>
      <c r="BQ102" s="285"/>
      <c r="BR102" s="285"/>
      <c r="BS102" s="285"/>
      <c r="BT102" s="285"/>
      <c r="BU102" s="285"/>
      <c r="BV102" s="285"/>
      <c r="BW102" s="65"/>
      <c r="BX102" s="65"/>
      <c r="BY102" s="65"/>
      <c r="BZ102" s="65"/>
      <c r="CA102" s="65"/>
      <c r="CB102" s="65"/>
      <c r="CC102" s="65"/>
      <c r="CD102" s="65"/>
      <c r="CE102" s="143"/>
      <c r="CF102" s="441"/>
      <c r="CG102" s="143"/>
      <c r="CH102" s="143"/>
    </row>
    <row r="103" spans="1:89" s="23" customFormat="1">
      <c r="A103" s="143"/>
      <c r="B103" s="143"/>
      <c r="K103" s="65"/>
      <c r="L103" s="65"/>
      <c r="M103" s="1048"/>
      <c r="N103" s="65"/>
      <c r="O103" s="65"/>
      <c r="P103" s="65"/>
      <c r="Q103" s="202"/>
      <c r="R103" s="189"/>
      <c r="S103" s="189"/>
      <c r="T103" s="189"/>
      <c r="U103" s="189"/>
      <c r="V103" s="189"/>
      <c r="W103" s="189"/>
      <c r="X103" s="448"/>
      <c r="Y103" s="285"/>
      <c r="Z103" s="455"/>
      <c r="AA103" s="455"/>
      <c r="AB103" s="455"/>
      <c r="AC103" s="455"/>
      <c r="AD103" s="455"/>
      <c r="AE103" s="455"/>
      <c r="AF103" s="45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c r="BO103" s="285"/>
      <c r="BP103" s="285"/>
      <c r="BQ103" s="285"/>
      <c r="BR103" s="285"/>
      <c r="BS103" s="285"/>
      <c r="BT103" s="285"/>
      <c r="BU103" s="285"/>
      <c r="BV103" s="285"/>
      <c r="BW103" s="65"/>
      <c r="BX103" s="65"/>
      <c r="BY103" s="65"/>
      <c r="BZ103" s="65"/>
      <c r="CA103" s="65"/>
      <c r="CB103" s="65"/>
      <c r="CC103" s="65"/>
      <c r="CD103" s="65"/>
      <c r="CE103" s="143"/>
      <c r="CF103" s="441"/>
      <c r="CG103" s="143"/>
      <c r="CH103" s="143"/>
    </row>
    <row r="104" spans="1:89" s="23" customFormat="1" ht="19.5" customHeight="1">
      <c r="A104" s="143"/>
      <c r="B104" s="143"/>
      <c r="K104" s="65"/>
      <c r="L104" s="65"/>
      <c r="M104" s="1048"/>
      <c r="N104" s="65"/>
      <c r="O104" s="65"/>
      <c r="P104" s="65"/>
      <c r="Q104" s="202"/>
      <c r="R104" s="189"/>
      <c r="S104" s="189"/>
      <c r="T104" s="189"/>
      <c r="U104" s="189"/>
      <c r="V104" s="189"/>
      <c r="W104" s="189"/>
      <c r="X104" s="448"/>
      <c r="Y104" s="285"/>
      <c r="Z104" s="285"/>
      <c r="AA104" s="285"/>
      <c r="AB104" s="285"/>
      <c r="AC104" s="285"/>
      <c r="AD104" s="285"/>
      <c r="AE104" s="285"/>
      <c r="AF104" s="285"/>
      <c r="AG104" s="455"/>
      <c r="AH104" s="45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5"/>
      <c r="BR104" s="285"/>
      <c r="BS104" s="285"/>
      <c r="BT104" s="285"/>
      <c r="BU104" s="285"/>
      <c r="BV104" s="285"/>
      <c r="BW104" s="65"/>
      <c r="BX104" s="65"/>
      <c r="BY104" s="65"/>
      <c r="BZ104" s="65"/>
      <c r="CA104" s="65"/>
      <c r="CB104" s="65"/>
      <c r="CC104" s="65"/>
      <c r="CD104" s="65"/>
      <c r="CE104" s="143"/>
      <c r="CF104" s="441"/>
      <c r="CG104" s="143"/>
      <c r="CH104" s="143"/>
    </row>
    <row r="105" spans="1:89" s="23" customFormat="1">
      <c r="A105" s="143"/>
      <c r="B105" s="33"/>
      <c r="C105"/>
      <c r="D105"/>
      <c r="E105"/>
      <c r="F105"/>
      <c r="G105"/>
      <c r="H105"/>
      <c r="I105"/>
      <c r="J105"/>
      <c r="K105" s="38"/>
      <c r="L105" s="38"/>
      <c r="M105" s="1048"/>
      <c r="N105" s="38"/>
      <c r="O105" s="38"/>
      <c r="P105" s="38"/>
      <c r="Q105" s="202"/>
      <c r="R105" s="189"/>
      <c r="S105" s="189"/>
      <c r="T105" s="189"/>
      <c r="U105" s="189"/>
      <c r="V105" s="189"/>
      <c r="W105" s="189"/>
      <c r="X105" s="448"/>
      <c r="Y105" s="285"/>
      <c r="Z105" s="285"/>
      <c r="AA105" s="285"/>
      <c r="AB105" s="285"/>
      <c r="AC105" s="285"/>
      <c r="AD105" s="285"/>
      <c r="AE105" s="285"/>
      <c r="AF105" s="285"/>
      <c r="AG105" s="285"/>
      <c r="AH105" s="285"/>
      <c r="AI105" s="285"/>
      <c r="AJ105" s="285"/>
      <c r="AK105" s="285"/>
      <c r="AL105" s="285"/>
      <c r="AM105" s="285"/>
      <c r="AN105" s="285"/>
      <c r="AO105" s="285"/>
      <c r="AP105" s="285"/>
      <c r="AQ105" s="285"/>
      <c r="AR105" s="285"/>
      <c r="AS105" s="285"/>
      <c r="AT105" s="285"/>
      <c r="AU105" s="285"/>
      <c r="AV105" s="285"/>
      <c r="AW105" s="285"/>
      <c r="AX105" s="285"/>
      <c r="AY105" s="285"/>
      <c r="AZ105" s="285"/>
      <c r="BA105" s="285"/>
      <c r="BB105" s="285"/>
      <c r="BC105" s="285"/>
      <c r="BD105" s="285"/>
      <c r="BE105" s="285"/>
      <c r="BF105" s="285"/>
      <c r="BG105" s="285"/>
      <c r="BH105" s="285"/>
      <c r="BI105" s="285"/>
      <c r="BJ105" s="285"/>
      <c r="BK105" s="285"/>
      <c r="BL105" s="285"/>
      <c r="BM105" s="285"/>
      <c r="BN105" s="285"/>
      <c r="BO105" s="285"/>
      <c r="BP105" s="285"/>
      <c r="BQ105" s="285"/>
      <c r="BR105" s="285"/>
      <c r="BS105" s="285"/>
      <c r="BT105" s="285"/>
      <c r="BU105" s="285"/>
      <c r="BV105" s="285"/>
      <c r="BW105" s="65"/>
      <c r="BX105" s="65"/>
      <c r="BY105" s="65"/>
      <c r="BZ105" s="65"/>
      <c r="CA105" s="65"/>
      <c r="CB105" s="65"/>
      <c r="CC105" s="65"/>
      <c r="CD105" s="65"/>
      <c r="CE105" s="143"/>
      <c r="CF105" s="441"/>
      <c r="CG105" s="143"/>
      <c r="CH105" s="143"/>
    </row>
    <row r="106" spans="1:89" s="23" customFormat="1">
      <c r="A106" s="143"/>
      <c r="B106" s="33"/>
      <c r="C106"/>
      <c r="D106"/>
      <c r="E106"/>
      <c r="F106"/>
      <c r="G106"/>
      <c r="H106"/>
      <c r="I106"/>
      <c r="J106"/>
      <c r="K106" s="38"/>
      <c r="L106" s="38"/>
      <c r="M106" s="1048"/>
      <c r="N106" s="38"/>
      <c r="O106" s="38"/>
      <c r="P106" s="38"/>
      <c r="Q106" s="202"/>
      <c r="R106" s="189"/>
      <c r="S106" s="189"/>
      <c r="T106" s="189"/>
      <c r="U106" s="189"/>
      <c r="V106" s="189"/>
      <c r="W106" s="189"/>
      <c r="X106" s="448"/>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c r="BO106" s="285"/>
      <c r="BP106" s="285"/>
      <c r="BQ106" s="285"/>
      <c r="BR106" s="285"/>
      <c r="BS106" s="285"/>
      <c r="BT106" s="285"/>
      <c r="BU106" s="285"/>
      <c r="BV106" s="285"/>
      <c r="BW106" s="65"/>
      <c r="BX106" s="65"/>
      <c r="BY106" s="65"/>
      <c r="BZ106" s="65"/>
      <c r="CA106" s="65"/>
      <c r="CB106" s="65"/>
      <c r="CC106" s="65"/>
      <c r="CD106" s="65"/>
      <c r="CE106" s="143"/>
      <c r="CF106" s="441"/>
      <c r="CG106" s="143"/>
      <c r="CH106" s="143"/>
    </row>
    <row r="107" spans="1:89" s="23" customFormat="1">
      <c r="A107" s="143"/>
      <c r="B107" s="33"/>
      <c r="C107"/>
      <c r="D107"/>
      <c r="E107"/>
      <c r="F107"/>
      <c r="G107"/>
      <c r="H107"/>
      <c r="I107"/>
      <c r="J107"/>
      <c r="K107" s="38"/>
      <c r="L107" s="38"/>
      <c r="M107" s="1048"/>
      <c r="N107" s="38"/>
      <c r="O107" s="38"/>
      <c r="P107" s="38"/>
      <c r="Q107" s="202"/>
      <c r="R107" s="189"/>
      <c r="S107" s="189"/>
      <c r="T107" s="189"/>
      <c r="U107" s="189"/>
      <c r="V107" s="189"/>
      <c r="W107" s="189"/>
      <c r="X107" s="448"/>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c r="BO107" s="285"/>
      <c r="BP107" s="285"/>
      <c r="BQ107" s="285"/>
      <c r="BR107" s="285"/>
      <c r="BS107" s="285"/>
      <c r="BT107" s="285"/>
      <c r="BU107" s="285"/>
      <c r="BV107" s="285"/>
      <c r="BW107" s="65"/>
      <c r="BX107" s="65"/>
      <c r="BY107" s="65"/>
      <c r="BZ107" s="65"/>
      <c r="CA107" s="65"/>
      <c r="CB107" s="65"/>
      <c r="CC107" s="65"/>
      <c r="CD107" s="65"/>
      <c r="CE107" s="143"/>
      <c r="CF107" s="441"/>
      <c r="CG107" s="143"/>
      <c r="CH107" s="143"/>
    </row>
    <row r="108" spans="1:89" s="23" customFormat="1">
      <c r="A108" s="143"/>
      <c r="B108" s="33"/>
      <c r="C108"/>
      <c r="D108"/>
      <c r="E108"/>
      <c r="F108"/>
      <c r="G108"/>
      <c r="H108"/>
      <c r="I108"/>
      <c r="J108"/>
      <c r="K108" s="38"/>
      <c r="L108" s="38"/>
      <c r="M108" s="1048"/>
      <c r="N108" s="38"/>
      <c r="O108" s="38"/>
      <c r="P108" s="38"/>
      <c r="Q108" s="202"/>
      <c r="R108" s="189"/>
      <c r="S108" s="189"/>
      <c r="T108" s="189"/>
      <c r="U108" s="189"/>
      <c r="V108" s="189"/>
      <c r="W108" s="189"/>
      <c r="X108" s="448"/>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c r="BO108" s="285"/>
      <c r="BP108" s="285"/>
      <c r="BQ108" s="285"/>
      <c r="BR108" s="285"/>
      <c r="BS108" s="285"/>
      <c r="BT108" s="285"/>
      <c r="BU108" s="285"/>
      <c r="BV108" s="285"/>
      <c r="BW108" s="65"/>
      <c r="BX108" s="65"/>
      <c r="BY108" s="65"/>
      <c r="BZ108" s="65"/>
      <c r="CA108" s="65"/>
      <c r="CB108" s="65"/>
      <c r="CC108" s="65"/>
      <c r="CD108" s="65"/>
      <c r="CE108" s="143"/>
      <c r="CF108" s="441"/>
      <c r="CG108" s="143"/>
      <c r="CH108" s="143"/>
    </row>
    <row r="109" spans="1:89" s="98" customFormat="1">
      <c r="A109" s="99"/>
      <c r="B109" s="33"/>
      <c r="C109"/>
      <c r="D109"/>
      <c r="E109"/>
      <c r="F109"/>
      <c r="G109"/>
      <c r="H109"/>
      <c r="I109"/>
      <c r="J109"/>
      <c r="K109" s="38"/>
      <c r="L109" s="38"/>
      <c r="M109" s="1048"/>
      <c r="N109" s="38"/>
      <c r="O109" s="38"/>
      <c r="P109" s="38"/>
      <c r="Q109" s="203"/>
      <c r="R109" s="453"/>
      <c r="S109" s="453"/>
      <c r="T109" s="453"/>
      <c r="U109" s="453"/>
      <c r="V109" s="453"/>
      <c r="W109" s="453"/>
      <c r="X109" s="454"/>
      <c r="Y109" s="455"/>
      <c r="Z109" s="285"/>
      <c r="AA109" s="285"/>
      <c r="AB109" s="285"/>
      <c r="AC109" s="285"/>
      <c r="AD109" s="285"/>
      <c r="AE109" s="285"/>
      <c r="AF109" s="285"/>
      <c r="AG109" s="285"/>
      <c r="AH109" s="285"/>
      <c r="AI109" s="455"/>
      <c r="AJ109" s="455"/>
      <c r="AK109" s="455"/>
      <c r="AL109" s="455"/>
      <c r="AM109" s="455"/>
      <c r="AN109" s="455"/>
      <c r="AO109" s="455"/>
      <c r="AP109" s="455"/>
      <c r="AQ109" s="455"/>
      <c r="AR109" s="455"/>
      <c r="AS109" s="455"/>
      <c r="AT109" s="455"/>
      <c r="AU109" s="455"/>
      <c r="AV109" s="455"/>
      <c r="AW109" s="455"/>
      <c r="AX109" s="455"/>
      <c r="AY109" s="455"/>
      <c r="AZ109" s="455"/>
      <c r="BA109" s="455"/>
      <c r="BB109" s="455"/>
      <c r="BC109" s="455"/>
      <c r="BD109" s="455"/>
      <c r="BE109" s="455"/>
      <c r="BF109" s="455"/>
      <c r="BG109" s="455"/>
      <c r="BH109" s="455"/>
      <c r="BI109" s="455"/>
      <c r="BJ109" s="455"/>
      <c r="BK109" s="455"/>
      <c r="BL109" s="455"/>
      <c r="BM109" s="455"/>
      <c r="BN109" s="455"/>
      <c r="BO109" s="455"/>
      <c r="BP109" s="455"/>
      <c r="BQ109" s="455"/>
      <c r="BR109" s="455"/>
      <c r="BS109" s="455"/>
      <c r="BT109" s="455"/>
      <c r="BU109" s="455"/>
      <c r="BV109" s="455"/>
      <c r="BW109" s="101"/>
      <c r="BX109" s="101"/>
      <c r="BY109" s="101"/>
      <c r="BZ109" s="101"/>
      <c r="CA109" s="101"/>
      <c r="CB109" s="101"/>
      <c r="CC109" s="101"/>
      <c r="CD109" s="101"/>
      <c r="CE109" s="99"/>
      <c r="CF109" s="441"/>
      <c r="CG109" s="99"/>
      <c r="CH109" s="99"/>
    </row>
    <row r="110" spans="1:89" s="23" customFormat="1">
      <c r="A110" s="143"/>
      <c r="B110" s="33"/>
      <c r="C110"/>
      <c r="D110"/>
      <c r="E110"/>
      <c r="F110"/>
      <c r="G110"/>
      <c r="H110"/>
      <c r="I110"/>
      <c r="J110"/>
      <c r="K110" s="38"/>
      <c r="L110" s="38"/>
      <c r="M110" s="1048"/>
      <c r="N110" s="38"/>
      <c r="O110" s="38"/>
      <c r="P110" s="38"/>
      <c r="Q110" s="202"/>
      <c r="R110" s="189"/>
      <c r="S110" s="189"/>
      <c r="T110" s="189"/>
      <c r="U110" s="189"/>
      <c r="V110" s="189"/>
      <c r="W110" s="189"/>
      <c r="X110" s="448"/>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285"/>
      <c r="BR110" s="285"/>
      <c r="BS110" s="285"/>
      <c r="BT110" s="285"/>
      <c r="BU110" s="285"/>
      <c r="BV110" s="285"/>
      <c r="BW110" s="65"/>
      <c r="BX110" s="65"/>
      <c r="BY110" s="65"/>
      <c r="BZ110" s="65"/>
      <c r="CA110" s="65"/>
      <c r="CB110" s="65"/>
      <c r="CC110" s="65"/>
      <c r="CD110" s="189"/>
      <c r="CE110" s="143"/>
      <c r="CF110" s="443"/>
      <c r="CG110" s="143"/>
    </row>
    <row r="111" spans="1:89" s="23" customFormat="1">
      <c r="A111" s="143"/>
      <c r="B111" s="33"/>
      <c r="C111"/>
      <c r="D111"/>
      <c r="E111"/>
      <c r="F111"/>
      <c r="G111"/>
      <c r="H111"/>
      <c r="I111"/>
      <c r="J111"/>
      <c r="K111" s="38"/>
      <c r="L111" s="38"/>
      <c r="M111" s="1048"/>
      <c r="N111" s="38"/>
      <c r="O111" s="38"/>
      <c r="P111" s="38"/>
      <c r="Q111" s="202"/>
      <c r="R111" s="189"/>
      <c r="S111" s="189"/>
      <c r="T111" s="189"/>
      <c r="U111" s="189"/>
      <c r="V111" s="189"/>
      <c r="W111" s="189"/>
      <c r="X111" s="448"/>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c r="BO111" s="285"/>
      <c r="BP111" s="285"/>
      <c r="BQ111" s="285"/>
      <c r="BR111" s="285"/>
      <c r="BS111" s="285"/>
      <c r="BT111" s="285"/>
      <c r="BU111" s="285"/>
      <c r="BV111" s="285"/>
      <c r="BW111" s="65"/>
      <c r="BX111" s="65"/>
      <c r="BY111" s="65"/>
      <c r="BZ111" s="65"/>
      <c r="CA111" s="65"/>
      <c r="CB111" s="65"/>
      <c r="CC111" s="189"/>
      <c r="CD111" s="189"/>
      <c r="CE111" s="143"/>
      <c r="CF111" s="441"/>
    </row>
    <row r="112" spans="1:89" s="23" customFormat="1">
      <c r="A112" s="143"/>
      <c r="B112" s="33"/>
      <c r="C112"/>
      <c r="D112"/>
      <c r="E112"/>
      <c r="F112"/>
      <c r="G112"/>
      <c r="H112"/>
      <c r="I112"/>
      <c r="J112"/>
      <c r="K112" s="38"/>
      <c r="L112" s="38"/>
      <c r="M112" s="1048"/>
      <c r="N112" s="38"/>
      <c r="O112" s="38"/>
      <c r="P112" s="38"/>
      <c r="Q112" s="202"/>
      <c r="R112" s="189"/>
      <c r="S112" s="189"/>
      <c r="T112" s="189"/>
      <c r="U112" s="189"/>
      <c r="V112" s="189"/>
      <c r="W112" s="189"/>
      <c r="X112" s="448"/>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c r="BO112" s="285"/>
      <c r="BP112" s="285"/>
      <c r="BQ112" s="285"/>
      <c r="BR112" s="285"/>
      <c r="BS112" s="285"/>
      <c r="BT112" s="285"/>
      <c r="BU112" s="285"/>
      <c r="BV112" s="285"/>
      <c r="BW112" s="65"/>
      <c r="BX112" s="65"/>
      <c r="BY112" s="65"/>
      <c r="BZ112" s="65"/>
      <c r="CA112" s="65"/>
      <c r="CB112" s="65"/>
      <c r="CC112" s="189"/>
      <c r="CD112" s="189"/>
      <c r="CE112" s="143"/>
      <c r="CF112" s="441"/>
    </row>
    <row r="113" spans="1:85" s="23" customFormat="1">
      <c r="A113" s="143"/>
      <c r="B113" s="33"/>
      <c r="C113"/>
      <c r="D113"/>
      <c r="E113"/>
      <c r="F113"/>
      <c r="G113"/>
      <c r="H113"/>
      <c r="I113"/>
      <c r="J113"/>
      <c r="K113" s="38"/>
      <c r="L113" s="38"/>
      <c r="M113" s="1048"/>
      <c r="N113" s="38"/>
      <c r="O113" s="38"/>
      <c r="P113" s="38"/>
      <c r="Q113" s="202"/>
      <c r="R113" s="189"/>
      <c r="S113" s="189"/>
      <c r="T113" s="189"/>
      <c r="U113" s="189"/>
      <c r="V113" s="189"/>
      <c r="W113" s="189"/>
      <c r="X113" s="448"/>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c r="BO113" s="285"/>
      <c r="BP113" s="285"/>
      <c r="BQ113" s="285"/>
      <c r="BR113" s="285"/>
      <c r="BS113" s="285"/>
      <c r="BT113" s="285"/>
      <c r="BU113" s="285"/>
      <c r="BV113" s="285"/>
      <c r="BW113" s="65"/>
      <c r="BX113" s="65"/>
      <c r="BY113" s="65"/>
      <c r="BZ113" s="65"/>
      <c r="CA113" s="65"/>
      <c r="CB113" s="65"/>
      <c r="CC113" s="189"/>
      <c r="CD113" s="189"/>
      <c r="CE113" s="143"/>
      <c r="CF113" s="441"/>
    </row>
    <row r="114" spans="1:85" s="23" customFormat="1">
      <c r="A114" s="143"/>
      <c r="B114" s="33"/>
      <c r="C114"/>
      <c r="D114"/>
      <c r="E114"/>
      <c r="F114"/>
      <c r="G114"/>
      <c r="H114"/>
      <c r="I114"/>
      <c r="J114"/>
      <c r="K114" s="38"/>
      <c r="L114" s="38"/>
      <c r="M114" s="1048"/>
      <c r="N114" s="38"/>
      <c r="O114" s="38"/>
      <c r="P114" s="38"/>
      <c r="Q114" s="202"/>
      <c r="R114" s="189"/>
      <c r="S114" s="189"/>
      <c r="T114" s="189"/>
      <c r="U114" s="189"/>
      <c r="V114" s="189"/>
      <c r="W114" s="189"/>
      <c r="X114" s="448"/>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c r="BO114" s="285"/>
      <c r="BP114" s="285"/>
      <c r="BQ114" s="285"/>
      <c r="BR114" s="285"/>
      <c r="BS114" s="285"/>
      <c r="BT114" s="285"/>
      <c r="BU114" s="285"/>
      <c r="BV114" s="285"/>
      <c r="BW114" s="65"/>
      <c r="BX114" s="65"/>
      <c r="BY114" s="65"/>
      <c r="BZ114" s="65"/>
      <c r="CA114" s="65"/>
      <c r="CB114" s="65"/>
      <c r="CC114" s="189"/>
      <c r="CD114" s="189"/>
      <c r="CE114" s="143"/>
      <c r="CF114" s="441"/>
    </row>
    <row r="115" spans="1:85" s="23" customFormat="1">
      <c r="A115" s="143"/>
      <c r="B115" s="33"/>
      <c r="C115"/>
      <c r="D115"/>
      <c r="E115"/>
      <c r="F115"/>
      <c r="G115"/>
      <c r="H115"/>
      <c r="I115"/>
      <c r="J115"/>
      <c r="K115" s="38"/>
      <c r="L115" s="38"/>
      <c r="M115" s="1048"/>
      <c r="N115" s="38"/>
      <c r="O115" s="38"/>
      <c r="P115" s="38"/>
      <c r="Q115" s="202"/>
      <c r="R115" s="189"/>
      <c r="S115" s="189"/>
      <c r="T115" s="189"/>
      <c r="U115" s="189"/>
      <c r="V115" s="189"/>
      <c r="W115" s="189"/>
      <c r="X115" s="448"/>
      <c r="Y115" s="285"/>
      <c r="Z115" s="287"/>
      <c r="AA115" s="287"/>
      <c r="AB115" s="287"/>
      <c r="AC115" s="287"/>
      <c r="AD115" s="287"/>
      <c r="AE115" s="287"/>
      <c r="AF115" s="287"/>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c r="BO115" s="285"/>
      <c r="BP115" s="285"/>
      <c r="BQ115" s="285"/>
      <c r="BR115" s="285"/>
      <c r="BS115" s="285"/>
      <c r="BT115" s="285"/>
      <c r="BU115" s="285"/>
      <c r="BV115" s="285"/>
      <c r="BW115" s="65"/>
      <c r="BX115" s="65"/>
      <c r="BY115" s="65"/>
      <c r="BZ115" s="65"/>
      <c r="CA115" s="65"/>
      <c r="CB115" s="65"/>
      <c r="CC115" s="189"/>
      <c r="CD115" s="189"/>
      <c r="CE115" s="143"/>
      <c r="CF115" s="441"/>
    </row>
    <row r="116" spans="1:85" s="23" customFormat="1">
      <c r="A116" s="143"/>
      <c r="B116" s="33"/>
      <c r="C116"/>
      <c r="D116"/>
      <c r="E116"/>
      <c r="F116"/>
      <c r="G116"/>
      <c r="H116"/>
      <c r="I116"/>
      <c r="J116"/>
      <c r="K116" s="38"/>
      <c r="L116" s="38"/>
      <c r="M116" s="1048"/>
      <c r="N116" s="38"/>
      <c r="O116" s="38"/>
      <c r="P116" s="38"/>
      <c r="Q116" s="202"/>
      <c r="R116" s="189"/>
      <c r="S116" s="189"/>
      <c r="T116" s="189"/>
      <c r="U116" s="189"/>
      <c r="V116" s="189"/>
      <c r="W116" s="189"/>
      <c r="X116" s="448"/>
      <c r="Y116" s="285"/>
      <c r="Z116" s="287"/>
      <c r="AA116" s="287"/>
      <c r="AB116" s="287"/>
      <c r="AC116" s="287"/>
      <c r="AD116" s="287"/>
      <c r="AE116" s="287"/>
      <c r="AF116" s="287"/>
      <c r="AG116" s="287"/>
      <c r="AH116" s="287"/>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c r="BO116" s="285"/>
      <c r="BP116" s="285"/>
      <c r="BQ116" s="285"/>
      <c r="BR116" s="285"/>
      <c r="BS116" s="285"/>
      <c r="BT116" s="285"/>
      <c r="BU116" s="285"/>
      <c r="BV116" s="285"/>
      <c r="BW116" s="65"/>
      <c r="BX116" s="65"/>
      <c r="BY116" s="65"/>
      <c r="BZ116" s="65"/>
      <c r="CA116" s="65"/>
      <c r="CB116" s="65"/>
      <c r="CC116" s="189"/>
      <c r="CD116" s="189"/>
      <c r="CE116" s="143"/>
      <c r="CF116" s="441"/>
    </row>
    <row r="117" spans="1:85" s="23" customFormat="1">
      <c r="A117" s="143"/>
      <c r="B117" s="33"/>
      <c r="C117"/>
      <c r="D117"/>
      <c r="E117"/>
      <c r="F117"/>
      <c r="G117"/>
      <c r="H117"/>
      <c r="I117"/>
      <c r="J117"/>
      <c r="K117" s="38"/>
      <c r="L117" s="38"/>
      <c r="M117" s="1048"/>
      <c r="N117" s="38"/>
      <c r="O117" s="38"/>
      <c r="P117" s="38"/>
      <c r="Q117" s="202"/>
      <c r="R117" s="189"/>
      <c r="S117" s="189"/>
      <c r="T117" s="189"/>
      <c r="U117" s="189"/>
      <c r="V117" s="189"/>
      <c r="W117" s="189"/>
      <c r="X117" s="448"/>
      <c r="Y117" s="285"/>
      <c r="Z117" s="287"/>
      <c r="AA117" s="287"/>
      <c r="AB117" s="287"/>
      <c r="AC117" s="287"/>
      <c r="AD117" s="287"/>
      <c r="AE117" s="287"/>
      <c r="AF117" s="287"/>
      <c r="AG117" s="287"/>
      <c r="AH117" s="287"/>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c r="BO117" s="285"/>
      <c r="BP117" s="285"/>
      <c r="BQ117" s="285"/>
      <c r="BR117" s="285"/>
      <c r="BS117" s="285"/>
      <c r="BT117" s="285"/>
      <c r="BU117" s="285"/>
      <c r="BV117" s="285"/>
      <c r="BW117" s="65"/>
      <c r="BX117" s="65"/>
      <c r="BY117" s="65"/>
      <c r="BZ117" s="65"/>
      <c r="CA117" s="65"/>
      <c r="CB117" s="65"/>
      <c r="CC117" s="65"/>
      <c r="CD117" s="189"/>
      <c r="CE117" s="143"/>
      <c r="CF117" s="441"/>
      <c r="CG117" s="143"/>
    </row>
    <row r="118" spans="1:85" s="23" customFormat="1">
      <c r="A118" s="143"/>
      <c r="B118" s="33"/>
      <c r="C118"/>
      <c r="D118"/>
      <c r="E118"/>
      <c r="F118"/>
      <c r="G118"/>
      <c r="H118"/>
      <c r="I118"/>
      <c r="J118"/>
      <c r="K118" s="38"/>
      <c r="L118" s="38"/>
      <c r="M118" s="1048"/>
      <c r="N118" s="38"/>
      <c r="O118" s="38"/>
      <c r="P118" s="38"/>
      <c r="Q118" s="202"/>
      <c r="R118" s="189"/>
      <c r="S118" s="189"/>
      <c r="T118" s="189"/>
      <c r="U118" s="189"/>
      <c r="V118" s="189"/>
      <c r="W118" s="189"/>
      <c r="X118" s="448"/>
      <c r="Y118" s="285"/>
      <c r="Z118" s="287"/>
      <c r="AA118" s="287"/>
      <c r="AB118" s="287"/>
      <c r="AC118" s="287"/>
      <c r="AD118" s="287"/>
      <c r="AE118" s="287"/>
      <c r="AF118" s="287"/>
      <c r="AG118" s="287"/>
      <c r="AH118" s="287"/>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c r="BO118" s="285"/>
      <c r="BP118" s="285"/>
      <c r="BQ118" s="285"/>
      <c r="BR118" s="285"/>
      <c r="BS118" s="285"/>
      <c r="BT118" s="285"/>
      <c r="BU118" s="285"/>
      <c r="BV118" s="285"/>
      <c r="BW118" s="65"/>
      <c r="BX118" s="65"/>
      <c r="BY118" s="65"/>
      <c r="BZ118" s="65"/>
      <c r="CA118" s="65"/>
      <c r="CB118" s="65"/>
      <c r="CC118" s="65"/>
      <c r="CD118" s="189"/>
      <c r="CE118" s="143"/>
      <c r="CF118" s="441"/>
      <c r="CG118" s="143"/>
    </row>
    <row r="119" spans="1:85" s="23" customFormat="1">
      <c r="A119" s="143"/>
      <c r="B119" s="33"/>
      <c r="C119"/>
      <c r="D119"/>
      <c r="E119"/>
      <c r="F119"/>
      <c r="G119"/>
      <c r="H119"/>
      <c r="I119"/>
      <c r="J119"/>
      <c r="K119" s="38"/>
      <c r="L119" s="38"/>
      <c r="M119" s="1048"/>
      <c r="N119" s="38"/>
      <c r="O119" s="38"/>
      <c r="P119" s="38"/>
      <c r="Q119" s="202"/>
      <c r="R119" s="189"/>
      <c r="S119" s="189"/>
      <c r="T119" s="189"/>
      <c r="U119" s="189"/>
      <c r="V119" s="189"/>
      <c r="W119" s="189"/>
      <c r="X119" s="448"/>
      <c r="Y119" s="285"/>
      <c r="Z119" s="287"/>
      <c r="AA119" s="287"/>
      <c r="AB119" s="287"/>
      <c r="AC119" s="287"/>
      <c r="AD119" s="287"/>
      <c r="AE119" s="287"/>
      <c r="AF119" s="287"/>
      <c r="AG119" s="287"/>
      <c r="AH119" s="287"/>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c r="BO119" s="285"/>
      <c r="BP119" s="285"/>
      <c r="BQ119" s="285"/>
      <c r="BR119" s="285"/>
      <c r="BS119" s="285"/>
      <c r="BT119" s="285"/>
      <c r="BU119" s="285"/>
      <c r="BV119" s="285"/>
      <c r="BW119" s="65"/>
      <c r="BX119" s="65"/>
      <c r="BY119" s="65"/>
      <c r="BZ119" s="65"/>
      <c r="CA119" s="65"/>
      <c r="CB119" s="65"/>
      <c r="CC119" s="65"/>
      <c r="CD119" s="189"/>
      <c r="CE119" s="143"/>
      <c r="CF119" s="441"/>
      <c r="CG119" s="143"/>
    </row>
    <row r="120" spans="1:85" s="23" customFormat="1">
      <c r="A120" s="143"/>
      <c r="B120" s="33"/>
      <c r="C120"/>
      <c r="D120"/>
      <c r="E120"/>
      <c r="F120"/>
      <c r="G120"/>
      <c r="H120"/>
      <c r="I120"/>
      <c r="J120"/>
      <c r="K120" s="38"/>
      <c r="L120" s="38"/>
      <c r="M120" s="1048"/>
      <c r="N120" s="38"/>
      <c r="O120" s="38"/>
      <c r="P120" s="38"/>
      <c r="Q120" s="202"/>
      <c r="R120" s="189"/>
      <c r="S120" s="189"/>
      <c r="T120" s="189"/>
      <c r="U120" s="189"/>
      <c r="V120" s="189"/>
      <c r="W120" s="189"/>
      <c r="X120" s="448"/>
      <c r="Y120" s="285"/>
      <c r="Z120" s="287"/>
      <c r="AA120" s="287"/>
      <c r="AB120" s="287"/>
      <c r="AC120" s="287"/>
      <c r="AD120" s="287"/>
      <c r="AE120" s="287"/>
      <c r="AF120" s="287"/>
      <c r="AG120" s="287"/>
      <c r="AH120" s="287"/>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c r="BO120" s="285"/>
      <c r="BP120" s="285"/>
      <c r="BQ120" s="285"/>
      <c r="BR120" s="285"/>
      <c r="BS120" s="285"/>
      <c r="BT120" s="285"/>
      <c r="BU120" s="285"/>
      <c r="BV120" s="285"/>
      <c r="BW120" s="65"/>
      <c r="BX120" s="65"/>
      <c r="BY120" s="65"/>
      <c r="BZ120" s="65"/>
      <c r="CA120" s="65"/>
      <c r="CB120" s="65"/>
      <c r="CC120" s="65"/>
      <c r="CD120" s="189"/>
      <c r="CE120" s="143"/>
      <c r="CF120" s="441"/>
      <c r="CG120" s="143"/>
    </row>
    <row r="121" spans="1:85">
      <c r="CF121" s="441"/>
    </row>
  </sheetData>
  <mergeCells count="38">
    <mergeCell ref="Z3:AF4"/>
    <mergeCell ref="Z11:AF11"/>
    <mergeCell ref="Z7:AF10"/>
    <mergeCell ref="I84:J84"/>
    <mergeCell ref="Z32:AF32"/>
    <mergeCell ref="AB33:AF33"/>
    <mergeCell ref="AC12:AD12"/>
    <mergeCell ref="AA12:AB12"/>
    <mergeCell ref="AB15:AF15"/>
    <mergeCell ref="Z13:AF14"/>
    <mergeCell ref="Z50:AF53"/>
    <mergeCell ref="B100:D100"/>
    <mergeCell ref="F78:H78"/>
    <mergeCell ref="F79:H79"/>
    <mergeCell ref="D88:E88"/>
    <mergeCell ref="E76:H76"/>
    <mergeCell ref="C98:D98"/>
    <mergeCell ref="C99:D99"/>
    <mergeCell ref="C97:D97"/>
    <mergeCell ref="C93:D93"/>
    <mergeCell ref="B84:D84"/>
    <mergeCell ref="G84:H84"/>
    <mergeCell ref="A1:J1"/>
    <mergeCell ref="A2:J2"/>
    <mergeCell ref="C38:D38"/>
    <mergeCell ref="C75:F75"/>
    <mergeCell ref="G7:H7"/>
    <mergeCell ref="G8:H8"/>
    <mergeCell ref="D13:D14"/>
    <mergeCell ref="B13:B14"/>
    <mergeCell ref="G26:I26"/>
    <mergeCell ref="G38:I38"/>
    <mergeCell ref="E13:I13"/>
    <mergeCell ref="B25:B26"/>
    <mergeCell ref="D26:F26"/>
    <mergeCell ref="D25:F25"/>
    <mergeCell ref="D33:E33"/>
    <mergeCell ref="G25:I25"/>
  </mergeCells>
  <phoneticPr fontId="0" type="noConversion"/>
  <conditionalFormatting sqref="C38">
    <cfRule type="expression" dxfId="28" priority="22" stopIfTrue="1">
      <formula>$E$38&lt;$E$37</formula>
    </cfRule>
  </conditionalFormatting>
  <conditionalFormatting sqref="D15">
    <cfRule type="colorScale" priority="9">
      <colorScale>
        <cfvo type="min"/>
        <cfvo type="max"/>
        <color rgb="FFFF7128"/>
        <color rgb="FFFFEF9C"/>
      </colorScale>
    </cfRule>
    <cfRule type="colorScale" priority="34">
      <colorScale>
        <cfvo type="min"/>
        <cfvo type="max"/>
        <color rgb="FFFF7128"/>
        <color rgb="FFFFEF9C"/>
      </colorScale>
    </cfRule>
  </conditionalFormatting>
  <conditionalFormatting sqref="E38">
    <cfRule type="expression" dxfId="27" priority="24" stopIfTrue="1">
      <formula>$E$38&lt;$E$37</formula>
    </cfRule>
  </conditionalFormatting>
  <conditionalFormatting sqref="E15:I15">
    <cfRule type="expression" dxfId="26" priority="8" stopIfTrue="1">
      <formula>$D$15="Owner"</formula>
    </cfRule>
  </conditionalFormatting>
  <conditionalFormatting sqref="E16:I16">
    <cfRule type="expression" dxfId="25" priority="7" stopIfTrue="1">
      <formula>$D$16="Owner"</formula>
    </cfRule>
  </conditionalFormatting>
  <conditionalFormatting sqref="E17:I17">
    <cfRule type="expression" dxfId="24" priority="6" stopIfTrue="1">
      <formula>$D$17="Owner"</formula>
    </cfRule>
  </conditionalFormatting>
  <conditionalFormatting sqref="E18:I18">
    <cfRule type="expression" dxfId="23" priority="5" stopIfTrue="1">
      <formula>$D$18="Owner"</formula>
    </cfRule>
  </conditionalFormatting>
  <conditionalFormatting sqref="E19:I19">
    <cfRule type="expression" dxfId="22" priority="4" stopIfTrue="1">
      <formula>$D$19="Owner"</formula>
    </cfRule>
  </conditionalFormatting>
  <conditionalFormatting sqref="E20:I20">
    <cfRule type="expression" dxfId="21" priority="3" stopIfTrue="1">
      <formula>$D$20="Owner"</formula>
    </cfRule>
  </conditionalFormatting>
  <conditionalFormatting sqref="E21:I21">
    <cfRule type="expression" dxfId="20" priority="2" stopIfTrue="1">
      <formula>$D$21="Owner"</formula>
    </cfRule>
  </conditionalFormatting>
  <conditionalFormatting sqref="E22:I22">
    <cfRule type="expression" dxfId="19" priority="1" stopIfTrue="1">
      <formula>$D$22="Owner"</formula>
    </cfRule>
  </conditionalFormatting>
  <conditionalFormatting sqref="F38">
    <cfRule type="expression" dxfId="18" priority="23" stopIfTrue="1">
      <formula>$F$38&lt;$F$37</formula>
    </cfRule>
  </conditionalFormatting>
  <conditionalFormatting sqref="X40:X44">
    <cfRule type="expression" dxfId="17" priority="16" stopIfTrue="1">
      <formula>X40&lt;N40</formula>
    </cfRule>
  </conditionalFormatting>
  <conditionalFormatting sqref="X47:X51">
    <cfRule type="expression" dxfId="16" priority="15" stopIfTrue="1">
      <formula>X47&lt;N47</formula>
    </cfRule>
  </conditionalFormatting>
  <conditionalFormatting sqref="X54:X58">
    <cfRule type="expression" dxfId="15" priority="14" stopIfTrue="1">
      <formula>X54&lt;N54</formula>
    </cfRule>
  </conditionalFormatting>
  <conditionalFormatting sqref="X61:X65">
    <cfRule type="expression" dxfId="14" priority="10" stopIfTrue="1">
      <formula>X61&lt;N61</formula>
    </cfRule>
  </conditionalFormatting>
  <conditionalFormatting sqref="X68:X72">
    <cfRule type="expression" dxfId="13" priority="11" stopIfTrue="1">
      <formula>X68&lt;N68</formula>
    </cfRule>
  </conditionalFormatting>
  <dataValidations xWindow="502" yWindow="515" count="13">
    <dataValidation type="list" allowBlank="1" showInputMessage="1" showErrorMessage="1" sqref="E84 C7:C10 E47:E51 E40:E44 E68:E72 E7:E9 E54:E58 E61:E65" xr:uid="{00000000-0002-0000-0600-000000000000}">
      <formula1>"Yes, No"</formula1>
    </dataValidation>
    <dataValidation type="list" allowBlank="1" showInputMessage="1" showErrorMessage="1" sqref="G84:H84" xr:uid="{00000000-0002-0000-0600-000001000000}">
      <formula1>"KHC Project-Based Sec. 8, HUD Project-Based Sec. 8, Rural Development, Other"</formula1>
    </dataValidation>
    <dataValidation type="list" allowBlank="1" showInputMessage="1" showErrorMessage="1" sqref="E348:E65536" xr:uid="{00000000-0002-0000-0600-000002000000}">
      <formula1>"Tenant; Owner"</formula1>
    </dataValidation>
    <dataValidation type="list" allowBlank="1" showInputMessage="1" showErrorMessage="1" sqref="F40:F44 F68:F72 F47:F51 F54:F58 F61:F65" xr:uid="{00000000-0002-0000-0600-000003000000}">
      <formula1>"KHC Project Based Sec. 8, Other Project Based Sec. 8, Rural Dev., Other"</formula1>
    </dataValidation>
    <dataValidation type="list" allowBlank="1" showInputMessage="1" showErrorMessage="1" sqref="D15:D22" xr:uid="{00000000-0002-0000-0600-000004000000}">
      <formula1>"Tenant, Owner"</formula1>
    </dataValidation>
    <dataValidation type="list" allowBlank="1" showInputMessage="1" showErrorMessage="1" sqref="C15 C17" xr:uid="{00000000-0002-0000-0600-000005000000}">
      <formula1>"Gas, Electric, Other"</formula1>
    </dataValidation>
    <dataValidation type="list" allowBlank="1" showInputMessage="1" showErrorMessage="1" sqref="C19" xr:uid="{00000000-0002-0000-0600-000006000000}">
      <formula1>"Gas, Electric, Oil, Other"</formula1>
    </dataValidation>
    <dataValidation type="list" allowBlank="1" showInputMessage="1" showErrorMessage="1" sqref="I7" xr:uid="{00000000-0002-0000-0600-000007000000}">
      <formula1>"Natural Gas, Electric, Propane, Oil, Other"</formula1>
    </dataValidation>
    <dataValidation type="list" allowBlank="1" showInputMessage="1" showErrorMessage="1" sqref="I8" xr:uid="{00000000-0002-0000-0600-000008000000}">
      <formula1>"Forced Air, Hot Water, Other"</formula1>
    </dataValidation>
    <dataValidation allowBlank="1" showInputMessage="1" showErrorMessage="1" sqref="E14:E24" xr:uid="{00000000-0002-0000-0600-000009000000}"/>
    <dataValidation type="list" allowBlank="1" showInputMessage="1" showErrorMessage="1" sqref="J27:J33" xr:uid="{00000000-0002-0000-0600-00000A000000}">
      <formula1>"PHA Utility Chart, KHC Utility Chart, RD Utility Allowance, Other"</formula1>
    </dataValidation>
    <dataValidation type="list" allowBlank="1" showErrorMessage="1" error="You must use one of the codes from the drop down list" sqref="D54:D58 D68:D72 D47:D51 D40:D44 D61:D65" xr:uid="{00000000-0002-0000-0600-00000B000000}">
      <formula1>$CF$4:$CF$10</formula1>
    </dataValidation>
    <dataValidation type="list" allowBlank="1" showInputMessage="1" showErrorMessage="1" sqref="G40:G44 G68:G72 G47:G51 G54:G58 G61:G65" xr:uid="{00000000-0002-0000-0600-00000C000000}">
      <formula1>"30% AMI, 50% AMI (LH), 60% AMI (HH), 80% AMI, Unrestricted"</formula1>
    </dataValidation>
  </dataValidations>
  <printOptions horizontalCentered="1"/>
  <pageMargins left="0.5" right="0.5" top="0.67" bottom="0.5" header="0.72" footer="0.25"/>
  <pageSetup scale="63" fitToHeight="2" orientation="landscape" r:id="rId1"/>
  <headerFooter alignWithMargins="0">
    <oddFooter>&amp;L&amp;10&amp;F
&amp;A&amp;R&amp;10Louisville Metro Government
Page &amp;P of &amp;N</oddFooter>
  </headerFooter>
  <rowBreaks count="2" manualBreakCount="2">
    <brk id="45" max="23" man="1"/>
    <brk id="81"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120"/>
  <sheetViews>
    <sheetView showGridLines="0" topLeftCell="A37" zoomScale="110" zoomScaleNormal="110" workbookViewId="0">
      <selection activeCell="D50" sqref="D50"/>
    </sheetView>
  </sheetViews>
  <sheetFormatPr defaultColWidth="8.90625" defaultRowHeight="15"/>
  <cols>
    <col min="1" max="1" width="2.90625" customWidth="1"/>
    <col min="2" max="2" width="38.453125" customWidth="1"/>
    <col min="3" max="4" width="14.90625" customWidth="1"/>
    <col min="5" max="5" width="2.81640625" customWidth="1"/>
    <col min="6" max="6" width="9.54296875" bestFit="1" customWidth="1"/>
    <col min="7" max="7" width="8.54296875" customWidth="1"/>
  </cols>
  <sheetData>
    <row r="1" spans="1:15" ht="15.6">
      <c r="A1" s="1363" t="str">
        <f ca="1">name</f>
        <v>RENTAL PRODUCTION APPLICATION</v>
      </c>
      <c r="B1" s="1363"/>
      <c r="C1" s="1363"/>
      <c r="D1" s="1363"/>
      <c r="E1" s="1363"/>
      <c r="F1" s="1363"/>
      <c r="G1" s="1363"/>
    </row>
    <row r="2" spans="1:15" ht="22.8">
      <c r="A2" s="1414" t="s">
        <v>230</v>
      </c>
      <c r="B2" s="1414"/>
      <c r="C2" s="1414"/>
      <c r="D2" s="1414"/>
      <c r="E2" s="1414"/>
      <c r="F2" s="1414"/>
      <c r="G2" s="1414"/>
      <c r="H2" s="22"/>
      <c r="I2" s="22"/>
      <c r="J2" s="22"/>
      <c r="K2" s="22"/>
      <c r="L2" s="22"/>
      <c r="M2" s="22"/>
      <c r="N2" s="22"/>
      <c r="O2" s="22"/>
    </row>
    <row r="3" spans="1:15" ht="10.5" customHeight="1">
      <c r="C3" s="57"/>
      <c r="D3" s="57"/>
      <c r="E3" s="22"/>
      <c r="F3" s="57"/>
      <c r="G3" s="22"/>
      <c r="H3" s="22"/>
      <c r="I3" s="22"/>
      <c r="J3" s="22"/>
      <c r="K3" s="22"/>
      <c r="L3" s="22"/>
      <c r="M3" s="22"/>
      <c r="N3" s="22"/>
      <c r="O3" s="22"/>
    </row>
    <row r="4" spans="1:15" s="63" customFormat="1" ht="13.2">
      <c r="B4" s="704">
        <f>Project</f>
        <v>0</v>
      </c>
      <c r="D4" s="63" t="s">
        <v>641</v>
      </c>
      <c r="F4" s="206">
        <f>Units</f>
        <v>0</v>
      </c>
    </row>
    <row r="5" spans="1:15" s="63" customFormat="1" ht="13.2">
      <c r="B5" s="704"/>
      <c r="D5" s="63" t="s">
        <v>233</v>
      </c>
      <c r="F5" s="56">
        <f>'1)Summary'!I6</f>
        <v>0</v>
      </c>
    </row>
    <row r="6" spans="1:15" s="23" customFormat="1" ht="9.75" customHeight="1">
      <c r="B6" s="1410"/>
      <c r="C6" s="1410"/>
      <c r="D6" s="1410"/>
      <c r="F6" s="71"/>
    </row>
    <row r="7" spans="1:15" s="23" customFormat="1" ht="25.5" customHeight="1">
      <c r="B7" s="367" t="s">
        <v>31</v>
      </c>
      <c r="C7" s="159" t="s">
        <v>224</v>
      </c>
      <c r="D7" s="159" t="s">
        <v>161</v>
      </c>
      <c r="F7" s="160" t="s">
        <v>184</v>
      </c>
      <c r="G7" s="159" t="s">
        <v>261</v>
      </c>
    </row>
    <row r="8" spans="1:15" s="23" customFormat="1" ht="13.8">
      <c r="B8" s="161" t="s">
        <v>38</v>
      </c>
      <c r="C8" s="162"/>
      <c r="D8" s="163">
        <f t="shared" ref="D8:D21" si="0">IFERROR(C8/Units,0)</f>
        <v>0</v>
      </c>
      <c r="E8" s="164"/>
      <c r="F8" s="165">
        <f t="shared" ref="F8:F15" si="1">IF(ISERROR(C8/TotalOperating),0,C8/TotalOperating)</f>
        <v>0</v>
      </c>
    </row>
    <row r="9" spans="1:15" s="23" customFormat="1" ht="13.8">
      <c r="B9" s="166" t="s">
        <v>82</v>
      </c>
      <c r="C9" s="167"/>
      <c r="D9" s="163">
        <f t="shared" si="0"/>
        <v>0</v>
      </c>
      <c r="E9" s="164"/>
      <c r="F9" s="168">
        <f t="shared" si="1"/>
        <v>0</v>
      </c>
    </row>
    <row r="10" spans="1:15" s="23" customFormat="1" ht="13.8">
      <c r="B10" s="166" t="s">
        <v>32</v>
      </c>
      <c r="C10" s="167"/>
      <c r="D10" s="163">
        <f t="shared" si="0"/>
        <v>0</v>
      </c>
      <c r="E10" s="164"/>
      <c r="F10" s="168">
        <f t="shared" si="1"/>
        <v>0</v>
      </c>
    </row>
    <row r="11" spans="1:15" s="23" customFormat="1" ht="13.8">
      <c r="B11" s="166" t="s">
        <v>457</v>
      </c>
      <c r="C11" s="167"/>
      <c r="D11" s="163">
        <f t="shared" si="0"/>
        <v>0</v>
      </c>
      <c r="E11" s="164"/>
      <c r="F11" s="168">
        <f t="shared" si="1"/>
        <v>0</v>
      </c>
    </row>
    <row r="12" spans="1:15" s="23" customFormat="1" ht="13.8">
      <c r="B12" s="166" t="s">
        <v>458</v>
      </c>
      <c r="C12" s="167"/>
      <c r="D12" s="163">
        <f t="shared" si="0"/>
        <v>0</v>
      </c>
      <c r="E12" s="164"/>
      <c r="F12" s="168">
        <f t="shared" si="1"/>
        <v>0</v>
      </c>
    </row>
    <row r="13" spans="1:15" s="23" customFormat="1" ht="13.8">
      <c r="B13" s="166" t="s">
        <v>451</v>
      </c>
      <c r="C13" s="167"/>
      <c r="D13" s="163">
        <f t="shared" si="0"/>
        <v>0</v>
      </c>
      <c r="E13" s="164"/>
      <c r="F13" s="168">
        <f t="shared" si="1"/>
        <v>0</v>
      </c>
    </row>
    <row r="14" spans="1:15" s="23" customFormat="1" ht="13.8">
      <c r="B14" s="166" t="s">
        <v>37</v>
      </c>
      <c r="C14" s="167"/>
      <c r="D14" s="163">
        <f t="shared" si="0"/>
        <v>0</v>
      </c>
      <c r="E14" s="164"/>
      <c r="F14" s="168">
        <f t="shared" si="1"/>
        <v>0</v>
      </c>
    </row>
    <row r="15" spans="1:15" s="23" customFormat="1" ht="13.8">
      <c r="B15" s="166" t="s">
        <v>35</v>
      </c>
      <c r="C15" s="167"/>
      <c r="D15" s="163">
        <f t="shared" si="0"/>
        <v>0</v>
      </c>
      <c r="E15" s="164"/>
      <c r="F15" s="168">
        <f t="shared" si="1"/>
        <v>0</v>
      </c>
      <c r="G15" s="168">
        <f>IFERROR(C15/'5)Operating Proforma'!E12,0)</f>
        <v>0</v>
      </c>
      <c r="H15" s="65"/>
      <c r="I15" s="65"/>
      <c r="J15" s="169"/>
      <c r="K15" s="65"/>
      <c r="L15" s="65"/>
      <c r="M15" s="65"/>
      <c r="N15" s="65"/>
      <c r="O15" s="65"/>
    </row>
    <row r="16" spans="1:15" s="23" customFormat="1" ht="13.8">
      <c r="B16" s="166" t="s">
        <v>36</v>
      </c>
      <c r="C16" s="167"/>
      <c r="D16" s="163">
        <f t="shared" si="0"/>
        <v>0</v>
      </c>
      <c r="E16" s="170"/>
      <c r="F16" s="171">
        <f t="shared" ref="F16:F21" si="2">IF(ISERROR(C16/TotalOperating),0,C16/TotalOperating)</f>
        <v>0</v>
      </c>
      <c r="G16" s="65"/>
      <c r="H16" s="65"/>
      <c r="I16" s="65"/>
      <c r="J16" s="65"/>
      <c r="K16" s="65"/>
      <c r="L16" s="65"/>
      <c r="M16" s="65"/>
      <c r="N16" s="65"/>
      <c r="O16" s="65"/>
    </row>
    <row r="17" spans="2:6" s="23" customFormat="1" ht="13.8">
      <c r="B17" s="166" t="s">
        <v>33</v>
      </c>
      <c r="C17" s="167"/>
      <c r="D17" s="163">
        <f t="shared" si="0"/>
        <v>0</v>
      </c>
      <c r="E17" s="164"/>
      <c r="F17" s="168">
        <f t="shared" si="2"/>
        <v>0</v>
      </c>
    </row>
    <row r="18" spans="2:6" s="23" customFormat="1" ht="13.8">
      <c r="B18" s="166" t="s">
        <v>34</v>
      </c>
      <c r="C18" s="167"/>
      <c r="D18" s="163">
        <f t="shared" si="0"/>
        <v>0</v>
      </c>
      <c r="E18" s="164"/>
      <c r="F18" s="168">
        <f t="shared" si="2"/>
        <v>0</v>
      </c>
    </row>
    <row r="19" spans="2:6" s="23" customFormat="1" ht="13.8">
      <c r="B19" s="166" t="s">
        <v>39</v>
      </c>
      <c r="C19" s="167"/>
      <c r="D19" s="163">
        <f t="shared" si="0"/>
        <v>0</v>
      </c>
      <c r="E19" s="164"/>
      <c r="F19" s="168">
        <f t="shared" si="2"/>
        <v>0</v>
      </c>
    </row>
    <row r="20" spans="2:6" s="23" customFormat="1" ht="14.4" thickBot="1">
      <c r="B20" s="172" t="s">
        <v>106</v>
      </c>
      <c r="C20" s="173"/>
      <c r="D20" s="163">
        <f t="shared" si="0"/>
        <v>0</v>
      </c>
      <c r="E20" s="164"/>
      <c r="F20" s="174">
        <f t="shared" si="2"/>
        <v>0</v>
      </c>
    </row>
    <row r="21" spans="2:6" s="23" customFormat="1" ht="13.8">
      <c r="B21" s="175" t="s">
        <v>5</v>
      </c>
      <c r="C21" s="176">
        <f>SUM(C7:C20)</f>
        <v>0</v>
      </c>
      <c r="D21" s="177">
        <f t="shared" si="0"/>
        <v>0</v>
      </c>
      <c r="E21" s="164"/>
      <c r="F21" s="178">
        <f t="shared" si="2"/>
        <v>0</v>
      </c>
    </row>
    <row r="22" spans="2:6" s="23" customFormat="1" ht="30" customHeight="1">
      <c r="B22" s="367" t="s">
        <v>40</v>
      </c>
      <c r="C22" s="179"/>
      <c r="D22" s="179"/>
      <c r="E22" s="164"/>
      <c r="F22" s="168"/>
    </row>
    <row r="23" spans="2:6" s="23" customFormat="1" ht="13.8">
      <c r="B23" s="161" t="s">
        <v>437</v>
      </c>
      <c r="C23" s="162"/>
      <c r="D23" s="163">
        <f t="shared" ref="D23:D31" si="3">IFERROR(C23/Units,0)</f>
        <v>0</v>
      </c>
      <c r="E23" s="164"/>
      <c r="F23" s="165">
        <f t="shared" ref="F23:F31" si="4">IF(ISERROR(C23/TotalOperating),0,C23/TotalOperating)</f>
        <v>0</v>
      </c>
    </row>
    <row r="24" spans="2:6" s="23" customFormat="1" ht="13.8">
      <c r="B24" s="166" t="s">
        <v>42</v>
      </c>
      <c r="C24" s="167"/>
      <c r="D24" s="163">
        <f t="shared" si="3"/>
        <v>0</v>
      </c>
      <c r="E24" s="164"/>
      <c r="F24" s="168">
        <f t="shared" si="4"/>
        <v>0</v>
      </c>
    </row>
    <row r="25" spans="2:6" s="23" customFormat="1" ht="13.8">
      <c r="B25" s="166" t="s">
        <v>438</v>
      </c>
      <c r="C25" s="167"/>
      <c r="D25" s="163">
        <f t="shared" si="3"/>
        <v>0</v>
      </c>
      <c r="E25" s="164"/>
      <c r="F25" s="168">
        <f t="shared" si="4"/>
        <v>0</v>
      </c>
    </row>
    <row r="26" spans="2:6" s="23" customFormat="1" ht="13.8">
      <c r="B26" s="166" t="s">
        <v>41</v>
      </c>
      <c r="C26" s="167"/>
      <c r="D26" s="163">
        <f t="shared" si="3"/>
        <v>0</v>
      </c>
      <c r="E26" s="164"/>
      <c r="F26" s="168">
        <f t="shared" si="4"/>
        <v>0</v>
      </c>
    </row>
    <row r="27" spans="2:6" s="23" customFormat="1" ht="13.8">
      <c r="B27" s="166" t="s">
        <v>45</v>
      </c>
      <c r="C27" s="167"/>
      <c r="D27" s="163">
        <f t="shared" si="3"/>
        <v>0</v>
      </c>
      <c r="E27" s="164"/>
      <c r="F27" s="168">
        <f t="shared" si="4"/>
        <v>0</v>
      </c>
    </row>
    <row r="28" spans="2:6" s="23" customFormat="1" ht="13.8">
      <c r="B28" s="166" t="s">
        <v>44</v>
      </c>
      <c r="C28" s="167"/>
      <c r="D28" s="163">
        <f t="shared" si="3"/>
        <v>0</v>
      </c>
      <c r="E28" s="164"/>
      <c r="F28" s="168">
        <f t="shared" si="4"/>
        <v>0</v>
      </c>
    </row>
    <row r="29" spans="2:6" s="23" customFormat="1" ht="13.8">
      <c r="B29" s="166" t="s">
        <v>43</v>
      </c>
      <c r="C29" s="167"/>
      <c r="D29" s="163">
        <f t="shared" si="3"/>
        <v>0</v>
      </c>
      <c r="E29" s="164"/>
      <c r="F29" s="168">
        <f t="shared" si="4"/>
        <v>0</v>
      </c>
    </row>
    <row r="30" spans="2:6" s="23" customFormat="1" ht="14.4" thickBot="1">
      <c r="B30" s="172" t="s">
        <v>106</v>
      </c>
      <c r="C30" s="173"/>
      <c r="D30" s="163">
        <f t="shared" si="3"/>
        <v>0</v>
      </c>
      <c r="E30" s="164"/>
      <c r="F30" s="174">
        <f t="shared" si="4"/>
        <v>0</v>
      </c>
    </row>
    <row r="31" spans="2:6" s="23" customFormat="1" ht="13.8">
      <c r="B31" s="175" t="s">
        <v>6</v>
      </c>
      <c r="C31" s="176">
        <f>SUM(C22:C30)</f>
        <v>0</v>
      </c>
      <c r="D31" s="177">
        <f t="shared" si="3"/>
        <v>0</v>
      </c>
      <c r="E31" s="164"/>
      <c r="F31" s="178">
        <f t="shared" si="4"/>
        <v>0</v>
      </c>
    </row>
    <row r="32" spans="2:6" s="23" customFormat="1" ht="30" customHeight="1">
      <c r="B32" s="367" t="s">
        <v>46</v>
      </c>
      <c r="C32" s="179"/>
      <c r="D32" s="179"/>
      <c r="E32" s="164"/>
      <c r="F32" s="168"/>
    </row>
    <row r="33" spans="2:6" s="23" customFormat="1" ht="13.8">
      <c r="B33" s="161" t="s">
        <v>47</v>
      </c>
      <c r="C33" s="162"/>
      <c r="D33" s="163">
        <f t="shared" ref="D33:D38" si="5">IFERROR(C33/Units,0)</f>
        <v>0</v>
      </c>
      <c r="E33" s="164"/>
      <c r="F33" s="165">
        <f t="shared" ref="F33:F38" si="6">IF(ISERROR(C33/TotalOperating),0,C33/TotalOperating)</f>
        <v>0</v>
      </c>
    </row>
    <row r="34" spans="2:6" s="23" customFormat="1" ht="13.8">
      <c r="B34" s="166" t="s">
        <v>48</v>
      </c>
      <c r="C34" s="162"/>
      <c r="D34" s="163">
        <f t="shared" si="5"/>
        <v>0</v>
      </c>
      <c r="E34" s="164"/>
      <c r="F34" s="168">
        <f t="shared" si="6"/>
        <v>0</v>
      </c>
    </row>
    <row r="35" spans="2:6" s="23" customFormat="1" ht="13.8">
      <c r="B35" s="166" t="s">
        <v>50</v>
      </c>
      <c r="C35" s="162"/>
      <c r="D35" s="163">
        <f t="shared" si="5"/>
        <v>0</v>
      </c>
      <c r="E35" s="164"/>
      <c r="F35" s="168">
        <f t="shared" si="6"/>
        <v>0</v>
      </c>
    </row>
    <row r="36" spans="2:6" s="23" customFormat="1" ht="13.8">
      <c r="B36" s="166" t="s">
        <v>49</v>
      </c>
      <c r="C36" s="162"/>
      <c r="D36" s="163">
        <f t="shared" si="5"/>
        <v>0</v>
      </c>
      <c r="E36" s="164"/>
      <c r="F36" s="168">
        <f t="shared" si="6"/>
        <v>0</v>
      </c>
    </row>
    <row r="37" spans="2:6" s="23" customFormat="1" ht="14.4" thickBot="1">
      <c r="B37" s="172" t="s">
        <v>106</v>
      </c>
      <c r="C37" s="173"/>
      <c r="D37" s="163">
        <f t="shared" si="5"/>
        <v>0</v>
      </c>
      <c r="E37" s="164"/>
      <c r="F37" s="174">
        <f t="shared" si="6"/>
        <v>0</v>
      </c>
    </row>
    <row r="38" spans="2:6" s="23" customFormat="1" ht="13.8">
      <c r="B38" s="175" t="s">
        <v>7</v>
      </c>
      <c r="C38" s="176">
        <f>SUM(C32:C37)</f>
        <v>0</v>
      </c>
      <c r="D38" s="177">
        <f t="shared" si="5"/>
        <v>0</v>
      </c>
      <c r="E38" s="164"/>
      <c r="F38" s="178">
        <f t="shared" si="6"/>
        <v>0</v>
      </c>
    </row>
    <row r="39" spans="2:6" s="23" customFormat="1" ht="30" customHeight="1">
      <c r="B39" s="367" t="s">
        <v>51</v>
      </c>
      <c r="C39" s="179"/>
      <c r="D39" s="179"/>
      <c r="E39" s="164"/>
      <c r="F39" s="168"/>
    </row>
    <row r="40" spans="2:6" s="23" customFormat="1" ht="13.8">
      <c r="B40" s="180" t="s">
        <v>351</v>
      </c>
      <c r="C40" s="162"/>
      <c r="D40" s="163">
        <f t="shared" ref="D40:D46" si="7">IFERROR(C40/Units,0)</f>
        <v>0</v>
      </c>
      <c r="E40" s="164"/>
      <c r="F40" s="165">
        <f t="shared" ref="F40:F46" si="8">IF(ISERROR(C40/TotalOperating),0,C40/TotalOperating)</f>
        <v>0</v>
      </c>
    </row>
    <row r="41" spans="2:6" s="23" customFormat="1" ht="13.8">
      <c r="B41" s="180" t="s">
        <v>352</v>
      </c>
      <c r="C41" s="162"/>
      <c r="D41" s="163">
        <f t="shared" si="7"/>
        <v>0</v>
      </c>
      <c r="E41" s="164"/>
      <c r="F41" s="168">
        <f>IF(ISERROR(C41/TotalOperating),0,C41/TotalOperating)</f>
        <v>0</v>
      </c>
    </row>
    <row r="42" spans="2:6" s="23" customFormat="1" ht="13.8">
      <c r="B42" s="181" t="s">
        <v>53</v>
      </c>
      <c r="C42" s="167"/>
      <c r="D42" s="163">
        <f t="shared" si="7"/>
        <v>0</v>
      </c>
      <c r="E42" s="164"/>
      <c r="F42" s="168">
        <f t="shared" si="8"/>
        <v>0</v>
      </c>
    </row>
    <row r="43" spans="2:6" s="23" customFormat="1" ht="13.8">
      <c r="B43" s="181" t="s">
        <v>52</v>
      </c>
      <c r="C43" s="167"/>
      <c r="D43" s="163">
        <f t="shared" si="7"/>
        <v>0</v>
      </c>
      <c r="E43" s="164"/>
      <c r="F43" s="168">
        <f t="shared" si="8"/>
        <v>0</v>
      </c>
    </row>
    <row r="44" spans="2:6" s="23" customFormat="1" ht="13.8">
      <c r="B44" s="181" t="s">
        <v>54</v>
      </c>
      <c r="C44" s="167"/>
      <c r="D44" s="163">
        <f t="shared" si="7"/>
        <v>0</v>
      </c>
      <c r="E44" s="164"/>
      <c r="F44" s="168">
        <f t="shared" si="8"/>
        <v>0</v>
      </c>
    </row>
    <row r="45" spans="2:6" s="23" customFormat="1" ht="14.4" thickBot="1">
      <c r="B45" s="172" t="s">
        <v>191</v>
      </c>
      <c r="C45" s="167"/>
      <c r="D45" s="163">
        <f t="shared" si="7"/>
        <v>0</v>
      </c>
      <c r="E45" s="164"/>
      <c r="F45" s="174">
        <f t="shared" si="8"/>
        <v>0</v>
      </c>
    </row>
    <row r="46" spans="2:6" s="23" customFormat="1" ht="13.8">
      <c r="B46" s="175" t="s">
        <v>8</v>
      </c>
      <c r="C46" s="176">
        <f>SUM(C40:C45)</f>
        <v>0</v>
      </c>
      <c r="D46" s="177">
        <f t="shared" si="7"/>
        <v>0</v>
      </c>
      <c r="E46" s="164"/>
      <c r="F46" s="178">
        <f t="shared" si="8"/>
        <v>0</v>
      </c>
    </row>
    <row r="47" spans="2:6" s="23" customFormat="1" ht="20.25" customHeight="1" thickBot="1">
      <c r="B47" s="182"/>
      <c r="C47" s="183"/>
      <c r="D47" s="183"/>
      <c r="E47" s="164"/>
      <c r="F47" s="184"/>
    </row>
    <row r="48" spans="2:6" s="614" customFormat="1" ht="26.25" customHeight="1" thickBot="1">
      <c r="B48" s="615" t="s">
        <v>234</v>
      </c>
      <c r="C48" s="616">
        <f>SUM(C46+C38+C31+C21)</f>
        <v>0</v>
      </c>
      <c r="D48" s="616">
        <f>IFERROR(C48/Units,0)</f>
        <v>0</v>
      </c>
      <c r="E48" s="617"/>
      <c r="F48" s="618">
        <f>IF(ISERROR(C48/TotalOperating),0,C48/TotalOperating)</f>
        <v>0</v>
      </c>
    </row>
    <row r="49" spans="2:10" s="614" customFormat="1" ht="11.25" customHeight="1">
      <c r="B49" s="623"/>
      <c r="C49" s="624"/>
      <c r="D49" s="624"/>
      <c r="E49" s="617"/>
      <c r="F49" s="625"/>
    </row>
    <row r="50" spans="2:10" s="626" customFormat="1" ht="20.25" customHeight="1">
      <c r="B50" s="627" t="s">
        <v>625</v>
      </c>
      <c r="C50" s="628">
        <f>D50*Units</f>
        <v>0</v>
      </c>
      <c r="D50" s="628">
        <f>MAX('0)UnderwritingCriteria'!H18:H19)</f>
        <v>325</v>
      </c>
      <c r="F50" s="629"/>
      <c r="J50" s="630"/>
    </row>
    <row r="51" spans="2:10" s="626" customFormat="1" ht="20.25" customHeight="1">
      <c r="B51" s="627"/>
      <c r="C51" s="628"/>
      <c r="D51" s="631" t="s">
        <v>626</v>
      </c>
      <c r="F51" s="629"/>
      <c r="J51" s="630"/>
    </row>
    <row r="52" spans="2:10" s="23" customFormat="1" ht="20.25" customHeight="1">
      <c r="C52" s="368" t="s">
        <v>348</v>
      </c>
      <c r="D52" s="368" t="s">
        <v>349</v>
      </c>
    </row>
    <row r="53" spans="2:10" s="23" customFormat="1" ht="13.8">
      <c r="B53" s="1411" t="s">
        <v>459</v>
      </c>
      <c r="C53" s="231" t="s">
        <v>47</v>
      </c>
      <c r="D53" s="230"/>
    </row>
    <row r="54" spans="2:10" s="23" customFormat="1" ht="13.8">
      <c r="B54" s="1412"/>
      <c r="C54" s="232" t="s">
        <v>48</v>
      </c>
      <c r="D54" s="230"/>
    </row>
    <row r="55" spans="2:10" s="23" customFormat="1" ht="13.8">
      <c r="B55" s="1412"/>
      <c r="C55" s="232" t="s">
        <v>49</v>
      </c>
      <c r="D55" s="230"/>
    </row>
    <row r="56" spans="2:10" s="23" customFormat="1" ht="13.8">
      <c r="B56" s="1412"/>
      <c r="C56" s="232" t="s">
        <v>50</v>
      </c>
      <c r="D56" s="230"/>
    </row>
    <row r="57" spans="2:10" s="23" customFormat="1" ht="13.8">
      <c r="B57" s="1413"/>
      <c r="C57" s="233" t="s">
        <v>139</v>
      </c>
      <c r="D57" s="230"/>
    </row>
    <row r="58" spans="2:10" s="23" customFormat="1" ht="13.8"/>
    <row r="59" spans="2:10" s="23" customFormat="1" ht="13.8"/>
    <row r="60" spans="2:10" s="23" customFormat="1" ht="13.8"/>
    <row r="61" spans="2:10" s="23" customFormat="1" ht="13.8"/>
    <row r="62" spans="2:10" s="23" customFormat="1" ht="13.8"/>
    <row r="63" spans="2:10" s="23" customFormat="1" ht="13.8"/>
    <row r="64" spans="2:10" s="23" customFormat="1" ht="13.8"/>
    <row r="65" spans="3:15">
      <c r="C65" s="23"/>
      <c r="D65" s="23"/>
      <c r="E65" s="22"/>
      <c r="G65" s="22"/>
      <c r="H65" s="22"/>
      <c r="I65" s="22"/>
      <c r="J65" s="22"/>
      <c r="K65" s="22"/>
      <c r="L65" s="22"/>
      <c r="M65" s="22"/>
      <c r="N65" s="22"/>
      <c r="O65" s="22"/>
    </row>
    <row r="66" spans="3:15">
      <c r="E66" s="22"/>
      <c r="G66" s="22"/>
      <c r="H66" s="22"/>
      <c r="I66" s="22"/>
      <c r="J66" s="22"/>
      <c r="K66" s="22"/>
      <c r="L66" s="22"/>
      <c r="M66" s="22"/>
      <c r="N66" s="22"/>
      <c r="O66" s="22"/>
    </row>
    <row r="67" spans="3:15">
      <c r="E67" s="22"/>
      <c r="G67" s="22"/>
      <c r="H67" s="22"/>
      <c r="I67" s="22"/>
      <c r="J67" s="22"/>
      <c r="K67" s="22"/>
      <c r="L67" s="22"/>
      <c r="M67" s="22"/>
      <c r="N67" s="22"/>
      <c r="O67" s="22"/>
    </row>
    <row r="68" spans="3:15">
      <c r="E68" s="22"/>
      <c r="G68" s="22"/>
      <c r="H68" s="22"/>
      <c r="I68" s="22"/>
      <c r="J68" s="22"/>
      <c r="K68" s="22"/>
      <c r="L68" s="22"/>
      <c r="M68" s="22"/>
      <c r="N68" s="22"/>
      <c r="O68" s="22"/>
    </row>
    <row r="69" spans="3:15">
      <c r="E69" s="22"/>
      <c r="G69" s="22"/>
      <c r="H69" s="22"/>
      <c r="I69" s="22"/>
      <c r="J69" s="22"/>
      <c r="K69" s="22"/>
      <c r="L69" s="22"/>
      <c r="M69" s="22"/>
      <c r="N69" s="22"/>
      <c r="O69" s="22"/>
    </row>
    <row r="70" spans="3:15">
      <c r="E70" s="22"/>
      <c r="G70" s="22"/>
      <c r="H70" s="22"/>
      <c r="I70" s="22"/>
      <c r="J70" s="22"/>
      <c r="K70" s="22"/>
      <c r="L70" s="22"/>
      <c r="M70" s="22"/>
      <c r="N70" s="22"/>
      <c r="O70" s="22"/>
    </row>
    <row r="71" spans="3:15">
      <c r="E71" s="22"/>
      <c r="G71" s="22"/>
      <c r="H71" s="22"/>
      <c r="I71" s="22"/>
      <c r="J71" s="22"/>
      <c r="K71" s="22"/>
      <c r="L71" s="22"/>
      <c r="M71" s="22"/>
      <c r="N71" s="22"/>
      <c r="O71" s="22"/>
    </row>
    <row r="72" spans="3:15">
      <c r="E72" s="22"/>
      <c r="G72" s="22"/>
      <c r="H72" s="22"/>
      <c r="I72" s="22"/>
      <c r="J72" s="22"/>
      <c r="K72" s="22"/>
      <c r="L72" s="22"/>
      <c r="M72" s="22"/>
      <c r="N72" s="22"/>
      <c r="O72" s="22"/>
    </row>
    <row r="73" spans="3:15">
      <c r="E73" s="22"/>
      <c r="G73" s="22"/>
      <c r="H73" s="22"/>
      <c r="I73" s="22"/>
      <c r="J73" s="22"/>
      <c r="K73" s="22"/>
      <c r="L73" s="22"/>
      <c r="M73" s="22"/>
      <c r="N73" s="22"/>
      <c r="O73" s="22"/>
    </row>
    <row r="74" spans="3:15">
      <c r="E74" s="22"/>
      <c r="G74" s="22"/>
      <c r="H74" s="22"/>
      <c r="I74" s="22"/>
      <c r="J74" s="22"/>
      <c r="K74" s="22"/>
      <c r="L74" s="22"/>
      <c r="M74" s="22"/>
      <c r="N74" s="22"/>
      <c r="O74" s="22"/>
    </row>
    <row r="75" spans="3:15">
      <c r="E75" s="22"/>
      <c r="G75" s="22"/>
      <c r="H75" s="22"/>
      <c r="I75" s="22"/>
      <c r="J75" s="22"/>
      <c r="K75" s="22"/>
      <c r="L75" s="22"/>
      <c r="M75" s="22"/>
      <c r="N75" s="22"/>
      <c r="O75" s="22"/>
    </row>
    <row r="76" spans="3:15">
      <c r="E76" s="22"/>
      <c r="G76" s="22"/>
      <c r="H76" s="22"/>
      <c r="I76" s="22"/>
      <c r="J76" s="22"/>
      <c r="K76" s="22"/>
      <c r="L76" s="22"/>
      <c r="M76" s="22"/>
      <c r="N76" s="22"/>
      <c r="O76" s="22"/>
    </row>
    <row r="77" spans="3:15">
      <c r="E77" s="22"/>
      <c r="G77" s="22"/>
      <c r="H77" s="22"/>
      <c r="I77" s="22"/>
      <c r="J77" s="22"/>
      <c r="K77" s="22"/>
      <c r="L77" s="22"/>
      <c r="M77" s="22"/>
      <c r="N77" s="22"/>
      <c r="O77" s="22"/>
    </row>
    <row r="78" spans="3:15">
      <c r="E78" s="22"/>
      <c r="G78" s="22"/>
      <c r="H78" s="22"/>
      <c r="I78" s="22"/>
      <c r="J78" s="22"/>
      <c r="K78" s="22"/>
      <c r="L78" s="22"/>
      <c r="M78" s="22"/>
      <c r="N78" s="22"/>
      <c r="O78" s="22"/>
    </row>
    <row r="79" spans="3:15">
      <c r="E79" s="22"/>
      <c r="G79" s="22"/>
      <c r="H79" s="22"/>
      <c r="I79" s="22"/>
      <c r="J79" s="22"/>
      <c r="K79" s="22"/>
      <c r="L79" s="22"/>
      <c r="M79" s="22"/>
      <c r="N79" s="22"/>
      <c r="O79" s="22"/>
    </row>
    <row r="80" spans="3:15">
      <c r="E80" s="22"/>
      <c r="G80" s="22"/>
      <c r="H80" s="22"/>
      <c r="I80" s="22"/>
      <c r="J80" s="22"/>
      <c r="K80" s="22"/>
      <c r="L80" s="22"/>
      <c r="M80" s="22"/>
      <c r="N80" s="22"/>
      <c r="O80" s="22"/>
    </row>
    <row r="81" spans="5:15">
      <c r="E81" s="22"/>
      <c r="G81" s="22"/>
      <c r="H81" s="22"/>
      <c r="I81" s="22"/>
      <c r="J81" s="22"/>
      <c r="K81" s="22"/>
      <c r="L81" s="22"/>
      <c r="M81" s="22"/>
      <c r="N81" s="22"/>
      <c r="O81" s="22"/>
    </row>
    <row r="82" spans="5:15">
      <c r="E82" s="22"/>
      <c r="G82" s="22"/>
      <c r="H82" s="22"/>
      <c r="I82" s="22"/>
      <c r="J82" s="22"/>
      <c r="K82" s="22"/>
      <c r="L82" s="22"/>
      <c r="M82" s="22"/>
      <c r="N82" s="22"/>
      <c r="O82" s="22"/>
    </row>
    <row r="83" spans="5:15">
      <c r="E83" s="22"/>
      <c r="G83" s="22"/>
      <c r="H83" s="22"/>
      <c r="I83" s="22"/>
      <c r="J83" s="22"/>
      <c r="K83" s="22"/>
      <c r="L83" s="22"/>
      <c r="M83" s="22"/>
      <c r="N83" s="22"/>
      <c r="O83" s="22"/>
    </row>
    <row r="84" spans="5:15">
      <c r="E84" s="22"/>
      <c r="G84" s="22"/>
      <c r="H84" s="22"/>
      <c r="I84" s="22"/>
      <c r="J84" s="22"/>
      <c r="K84" s="22"/>
      <c r="L84" s="22"/>
      <c r="M84" s="22"/>
      <c r="N84" s="22"/>
      <c r="O84" s="22"/>
    </row>
    <row r="85" spans="5:15">
      <c r="E85" s="22"/>
      <c r="G85" s="22"/>
      <c r="H85" s="22"/>
      <c r="I85" s="22"/>
      <c r="J85" s="22"/>
      <c r="K85" s="22"/>
      <c r="L85" s="22"/>
      <c r="M85" s="22"/>
      <c r="N85" s="22"/>
      <c r="O85" s="22"/>
    </row>
    <row r="86" spans="5:15">
      <c r="E86" s="22"/>
      <c r="G86" s="22"/>
      <c r="H86" s="22"/>
      <c r="I86" s="22"/>
      <c r="J86" s="22"/>
      <c r="K86" s="22"/>
      <c r="L86" s="22"/>
      <c r="M86" s="22"/>
      <c r="N86" s="22"/>
      <c r="O86" s="22"/>
    </row>
    <row r="87" spans="5:15">
      <c r="E87" s="22"/>
      <c r="G87" s="22"/>
      <c r="H87" s="22"/>
      <c r="I87" s="22"/>
      <c r="J87" s="22"/>
      <c r="K87" s="22"/>
      <c r="L87" s="22"/>
      <c r="M87" s="22"/>
      <c r="N87" s="22"/>
      <c r="O87" s="22"/>
    </row>
    <row r="88" spans="5:15">
      <c r="E88" s="22"/>
      <c r="G88" s="22"/>
      <c r="H88" s="22"/>
      <c r="I88" s="22"/>
      <c r="J88" s="22"/>
      <c r="K88" s="22"/>
      <c r="L88" s="22"/>
      <c r="M88" s="22"/>
      <c r="N88" s="22"/>
      <c r="O88" s="22"/>
    </row>
    <row r="89" spans="5:15">
      <c r="E89" s="22"/>
      <c r="G89" s="22"/>
      <c r="H89" s="22"/>
      <c r="I89" s="22"/>
      <c r="J89" s="22"/>
      <c r="K89" s="22"/>
      <c r="L89" s="22"/>
      <c r="M89" s="22"/>
      <c r="N89" s="22"/>
      <c r="O89" s="22"/>
    </row>
    <row r="90" spans="5:15">
      <c r="E90" s="22"/>
      <c r="G90" s="22"/>
      <c r="H90" s="22"/>
      <c r="I90" s="22"/>
      <c r="J90" s="22"/>
      <c r="K90" s="22"/>
      <c r="L90" s="22"/>
      <c r="M90" s="22"/>
      <c r="N90" s="22"/>
      <c r="O90" s="22"/>
    </row>
    <row r="91" spans="5:15">
      <c r="E91" s="22"/>
      <c r="G91" s="22"/>
      <c r="H91" s="22"/>
      <c r="I91" s="22"/>
      <c r="J91" s="22"/>
      <c r="K91" s="22"/>
      <c r="L91" s="22"/>
      <c r="M91" s="22"/>
      <c r="N91" s="22"/>
      <c r="O91" s="22"/>
    </row>
    <row r="92" spans="5:15">
      <c r="E92" s="22"/>
      <c r="G92" s="22"/>
      <c r="H92" s="22"/>
      <c r="I92" s="22"/>
      <c r="J92" s="22"/>
      <c r="K92" s="22"/>
      <c r="L92" s="22"/>
      <c r="M92" s="22"/>
      <c r="N92" s="22"/>
      <c r="O92" s="22"/>
    </row>
    <row r="93" spans="5:15">
      <c r="E93" s="22"/>
      <c r="G93" s="22"/>
      <c r="H93" s="22"/>
      <c r="I93" s="22"/>
      <c r="J93" s="22"/>
      <c r="K93" s="22"/>
      <c r="L93" s="22"/>
      <c r="M93" s="22"/>
      <c r="N93" s="22"/>
      <c r="O93" s="22"/>
    </row>
    <row r="94" spans="5:15">
      <c r="E94" s="22"/>
      <c r="G94" s="22"/>
      <c r="H94" s="22"/>
      <c r="I94" s="22"/>
      <c r="J94" s="22"/>
      <c r="K94" s="22"/>
      <c r="L94" s="22"/>
      <c r="M94" s="22"/>
      <c r="N94" s="22"/>
      <c r="O94" s="22"/>
    </row>
    <row r="95" spans="5:15">
      <c r="E95" s="22"/>
      <c r="G95" s="22"/>
      <c r="H95" s="22"/>
      <c r="I95" s="22"/>
      <c r="J95" s="22"/>
      <c r="K95" s="22"/>
      <c r="L95" s="22"/>
      <c r="M95" s="22"/>
      <c r="N95" s="22"/>
      <c r="O95" s="22"/>
    </row>
    <row r="96" spans="5:15">
      <c r="E96" s="22"/>
      <c r="G96" s="22"/>
      <c r="H96" s="22"/>
      <c r="I96" s="22"/>
      <c r="J96" s="22"/>
      <c r="K96" s="22"/>
      <c r="L96" s="22"/>
      <c r="M96" s="22"/>
      <c r="N96" s="22"/>
      <c r="O96" s="22"/>
    </row>
    <row r="97" spans="5:15">
      <c r="E97" s="22"/>
      <c r="G97" s="22"/>
      <c r="H97" s="22"/>
      <c r="I97" s="22"/>
      <c r="J97" s="22"/>
      <c r="K97" s="22"/>
      <c r="L97" s="22"/>
      <c r="M97" s="22"/>
      <c r="N97" s="22"/>
      <c r="O97" s="22"/>
    </row>
    <row r="98" spans="5:15">
      <c r="E98" s="22"/>
      <c r="G98" s="22"/>
      <c r="H98" s="22"/>
      <c r="I98" s="22"/>
      <c r="J98" s="22"/>
      <c r="K98" s="22"/>
      <c r="L98" s="22"/>
      <c r="M98" s="22"/>
      <c r="N98" s="22"/>
      <c r="O98" s="22"/>
    </row>
    <row r="99" spans="5:15">
      <c r="E99" s="22"/>
      <c r="G99" s="22"/>
      <c r="H99" s="22"/>
      <c r="I99" s="22"/>
      <c r="J99" s="22"/>
      <c r="K99" s="22"/>
      <c r="L99" s="22"/>
      <c r="M99" s="22"/>
      <c r="N99" s="22"/>
      <c r="O99" s="22"/>
    </row>
    <row r="100" spans="5:15">
      <c r="E100" s="22"/>
      <c r="G100" s="22"/>
      <c r="H100" s="22"/>
      <c r="I100" s="22"/>
      <c r="J100" s="22"/>
      <c r="K100" s="22"/>
      <c r="L100" s="22"/>
      <c r="M100" s="22"/>
      <c r="N100" s="22"/>
      <c r="O100" s="22"/>
    </row>
    <row r="101" spans="5:15">
      <c r="E101" s="22"/>
      <c r="G101" s="22"/>
      <c r="H101" s="22"/>
      <c r="I101" s="22"/>
      <c r="J101" s="22"/>
      <c r="K101" s="22"/>
      <c r="L101" s="22"/>
      <c r="M101" s="22"/>
      <c r="N101" s="22"/>
      <c r="O101" s="22"/>
    </row>
    <row r="102" spans="5:15">
      <c r="E102" s="22"/>
      <c r="G102" s="22"/>
      <c r="H102" s="22"/>
      <c r="I102" s="22"/>
      <c r="J102" s="22"/>
      <c r="K102" s="22"/>
      <c r="L102" s="22"/>
      <c r="M102" s="22"/>
      <c r="N102" s="22"/>
      <c r="O102" s="22"/>
    </row>
    <row r="103" spans="5:15">
      <c r="E103" s="22"/>
      <c r="G103" s="22"/>
      <c r="H103" s="22"/>
      <c r="I103" s="22"/>
      <c r="J103" s="22"/>
      <c r="K103" s="22"/>
      <c r="L103" s="22"/>
      <c r="M103" s="22"/>
      <c r="N103" s="22"/>
      <c r="O103" s="22"/>
    </row>
    <row r="104" spans="5:15">
      <c r="E104" s="22"/>
      <c r="G104" s="22"/>
      <c r="H104" s="22"/>
      <c r="I104" s="22"/>
      <c r="J104" s="22"/>
      <c r="K104" s="22"/>
      <c r="L104" s="22"/>
      <c r="M104" s="22"/>
      <c r="N104" s="22"/>
      <c r="O104" s="22"/>
    </row>
    <row r="105" spans="5:15">
      <c r="E105" s="22"/>
      <c r="G105" s="22"/>
      <c r="H105" s="22"/>
      <c r="I105" s="22"/>
      <c r="J105" s="22"/>
      <c r="K105" s="22"/>
      <c r="L105" s="22"/>
      <c r="M105" s="22"/>
      <c r="N105" s="22"/>
      <c r="O105" s="22"/>
    </row>
    <row r="106" spans="5:15">
      <c r="E106" s="22"/>
      <c r="G106" s="22"/>
      <c r="H106" s="22"/>
      <c r="I106" s="22"/>
      <c r="J106" s="22"/>
      <c r="K106" s="22"/>
      <c r="L106" s="22"/>
      <c r="M106" s="22"/>
      <c r="N106" s="22"/>
      <c r="O106" s="22"/>
    </row>
    <row r="107" spans="5:15">
      <c r="E107" s="22"/>
      <c r="G107" s="22"/>
      <c r="H107" s="22"/>
      <c r="I107" s="22"/>
      <c r="J107" s="22"/>
      <c r="K107" s="22"/>
      <c r="L107" s="22"/>
      <c r="M107" s="22"/>
      <c r="N107" s="22"/>
      <c r="O107" s="22"/>
    </row>
    <row r="108" spans="5:15">
      <c r="E108" s="22"/>
      <c r="G108" s="22"/>
      <c r="H108" s="22"/>
      <c r="I108" s="22"/>
      <c r="J108" s="22"/>
      <c r="K108" s="22"/>
      <c r="L108" s="22"/>
      <c r="M108" s="22"/>
      <c r="N108" s="22"/>
      <c r="O108" s="22"/>
    </row>
    <row r="109" spans="5:15">
      <c r="E109" s="22"/>
      <c r="G109" s="22"/>
      <c r="H109" s="22"/>
      <c r="I109" s="22"/>
      <c r="J109" s="22"/>
      <c r="K109" s="22"/>
      <c r="L109" s="22"/>
      <c r="M109" s="22"/>
      <c r="N109" s="22"/>
      <c r="O109" s="22"/>
    </row>
    <row r="110" spans="5:15">
      <c r="E110" s="22"/>
      <c r="G110" s="22"/>
      <c r="H110" s="22"/>
      <c r="I110" s="22"/>
      <c r="J110" s="22"/>
      <c r="K110" s="22"/>
      <c r="L110" s="22"/>
      <c r="M110" s="22"/>
      <c r="N110" s="22"/>
      <c r="O110" s="22"/>
    </row>
    <row r="111" spans="5:15">
      <c r="E111" s="22"/>
      <c r="G111" s="22"/>
      <c r="H111" s="22"/>
      <c r="I111" s="22"/>
      <c r="J111" s="22"/>
      <c r="K111" s="22"/>
      <c r="L111" s="22"/>
      <c r="M111" s="22"/>
      <c r="N111" s="22"/>
      <c r="O111" s="22"/>
    </row>
    <row r="112" spans="5:15">
      <c r="E112" s="22"/>
      <c r="G112" s="22"/>
      <c r="H112" s="22"/>
      <c r="I112" s="22"/>
      <c r="J112" s="22"/>
      <c r="K112" s="22"/>
      <c r="L112" s="22"/>
      <c r="M112" s="22"/>
      <c r="N112" s="22"/>
      <c r="O112" s="22"/>
    </row>
    <row r="113" spans="5:15">
      <c r="E113" s="22"/>
      <c r="G113" s="22"/>
      <c r="H113" s="22"/>
      <c r="I113" s="22"/>
      <c r="J113" s="22"/>
      <c r="K113" s="22"/>
      <c r="L113" s="22"/>
      <c r="M113" s="22"/>
      <c r="N113" s="22"/>
      <c r="O113" s="22"/>
    </row>
    <row r="114" spans="5:15">
      <c r="E114" s="22"/>
      <c r="G114" s="22"/>
      <c r="H114" s="22"/>
      <c r="I114" s="22"/>
      <c r="J114" s="22"/>
      <c r="K114" s="22"/>
      <c r="L114" s="22"/>
      <c r="M114" s="22"/>
      <c r="N114" s="22"/>
      <c r="O114" s="22"/>
    </row>
    <row r="115" spans="5:15">
      <c r="E115" s="22"/>
      <c r="G115" s="22"/>
      <c r="H115" s="22"/>
      <c r="I115" s="22"/>
      <c r="J115" s="22"/>
      <c r="K115" s="22"/>
      <c r="L115" s="22"/>
      <c r="M115" s="22"/>
      <c r="N115" s="22"/>
      <c r="O115" s="22"/>
    </row>
    <row r="116" spans="5:15">
      <c r="E116" s="22"/>
      <c r="G116" s="22"/>
      <c r="H116" s="22"/>
      <c r="I116" s="22"/>
      <c r="J116" s="22"/>
      <c r="K116" s="22"/>
      <c r="L116" s="22"/>
      <c r="M116" s="22"/>
      <c r="N116" s="22"/>
      <c r="O116" s="22"/>
    </row>
    <row r="117" spans="5:15">
      <c r="E117" s="22"/>
      <c r="G117" s="22"/>
      <c r="H117" s="22"/>
      <c r="I117" s="22"/>
      <c r="J117" s="22"/>
      <c r="K117" s="22"/>
      <c r="L117" s="22"/>
      <c r="M117" s="22"/>
      <c r="N117" s="22"/>
      <c r="O117" s="22"/>
    </row>
    <row r="118" spans="5:15">
      <c r="E118" s="22"/>
      <c r="G118" s="22"/>
      <c r="H118" s="22"/>
      <c r="I118" s="22"/>
      <c r="J118" s="22"/>
      <c r="K118" s="22"/>
      <c r="L118" s="22"/>
      <c r="M118" s="22"/>
      <c r="N118" s="22"/>
      <c r="O118" s="22"/>
    </row>
    <row r="119" spans="5:15">
      <c r="E119" s="22"/>
      <c r="G119" s="22"/>
      <c r="H119" s="22"/>
      <c r="I119" s="22"/>
      <c r="J119" s="22"/>
      <c r="K119" s="22"/>
      <c r="L119" s="22"/>
      <c r="M119" s="22"/>
      <c r="N119" s="22"/>
      <c r="O119" s="22"/>
    </row>
    <row r="120" spans="5:15">
      <c r="E120" s="22"/>
      <c r="G120" s="22"/>
      <c r="H120" s="22"/>
      <c r="I120" s="22"/>
      <c r="J120" s="22"/>
      <c r="K120" s="22"/>
      <c r="L120" s="22"/>
      <c r="M120" s="22"/>
      <c r="N120" s="22"/>
      <c r="O120" s="22"/>
    </row>
  </sheetData>
  <mergeCells count="4">
    <mergeCell ref="B6:D6"/>
    <mergeCell ref="B53:B57"/>
    <mergeCell ref="A1:G1"/>
    <mergeCell ref="A2:G2"/>
  </mergeCells>
  <phoneticPr fontId="0" type="noConversion"/>
  <dataValidations count="1">
    <dataValidation type="list" allowBlank="1" showInputMessage="1" showErrorMessage="1" sqref="D53:D57" xr:uid="{00000000-0002-0000-0700-000000000000}">
      <formula1>"Owner/Project, Tenant"</formula1>
    </dataValidation>
  </dataValidations>
  <printOptions horizontalCentered="1"/>
  <pageMargins left="0.56999999999999995" right="0.25" top="0.5" bottom="0.75" header="0.25" footer="0.25"/>
  <pageSetup scale="77" orientation="portrait" horizontalDpi="300" r:id="rId1"/>
  <headerFooter alignWithMargins="0">
    <oddFooter>&amp;L&amp;9&amp;F
&amp;A&amp;R&amp;9Louisville Metro Government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K85"/>
  <sheetViews>
    <sheetView showGridLines="0" zoomScaleNormal="100" zoomScaleSheetLayoutView="50" workbookViewId="0">
      <pane xSplit="4" ySplit="5" topLeftCell="E6" activePane="bottomRight" state="frozen"/>
      <selection sqref="A1:XFD1048576"/>
      <selection pane="topRight" sqref="A1:XFD1048576"/>
      <selection pane="bottomLeft" sqref="A1:XFD1048576"/>
      <selection pane="bottomRight" activeCell="I2" sqref="I2"/>
    </sheetView>
  </sheetViews>
  <sheetFormatPr defaultColWidth="9.81640625" defaultRowHeight="15"/>
  <cols>
    <col min="1" max="1" width="1.6328125" customWidth="1"/>
    <col min="2" max="2" width="22.54296875" customWidth="1"/>
    <col min="3" max="4" width="7.36328125" customWidth="1"/>
    <col min="5" max="16" width="10.81640625" customWidth="1"/>
    <col min="17" max="17" width="12.90625" customWidth="1"/>
    <col min="18" max="24" width="10.81640625" customWidth="1"/>
    <col min="25" max="25" width="6.36328125" customWidth="1"/>
    <col min="27" max="27" width="8.6328125" customWidth="1"/>
    <col min="28" max="28" width="11.54296875" customWidth="1"/>
    <col min="29" max="29" width="10.81640625" customWidth="1"/>
    <col min="30" max="30" width="10.36328125" customWidth="1"/>
    <col min="31" max="31" width="10" customWidth="1"/>
    <col min="37" max="37" width="13" bestFit="1" customWidth="1"/>
    <col min="48" max="48" width="9.81640625" customWidth="1"/>
    <col min="49" max="49" width="15.6328125" customWidth="1"/>
    <col min="50" max="50" width="21.90625" bestFit="1" customWidth="1"/>
    <col min="51" max="51" width="17.90625" bestFit="1" customWidth="1"/>
  </cols>
  <sheetData>
    <row r="1" spans="2:27" ht="23.25" customHeight="1">
      <c r="B1" s="1427" t="str">
        <f ca="1">name</f>
        <v>RENTAL PRODUCTION APPLICATION</v>
      </c>
      <c r="C1" s="1427"/>
      <c r="D1" s="1427"/>
      <c r="E1" s="700" t="s">
        <v>559</v>
      </c>
      <c r="F1" s="1432">
        <f>Project</f>
        <v>0</v>
      </c>
      <c r="G1" s="1432"/>
      <c r="H1" s="1432"/>
      <c r="I1" s="195"/>
      <c r="J1" s="195"/>
      <c r="K1" s="195"/>
      <c r="L1" s="195"/>
      <c r="M1" s="195"/>
      <c r="N1" s="195"/>
      <c r="O1" s="195"/>
      <c r="P1" s="195"/>
      <c r="Q1" s="195"/>
      <c r="R1" s="195"/>
      <c r="S1" s="195"/>
      <c r="T1" s="195"/>
      <c r="U1" s="195"/>
      <c r="V1" s="195"/>
      <c r="W1" s="195"/>
      <c r="X1" s="195"/>
    </row>
    <row r="2" spans="2:27" ht="24.75" customHeight="1">
      <c r="B2" s="607" t="s">
        <v>442</v>
      </c>
      <c r="C2" s="196"/>
      <c r="D2" s="196"/>
      <c r="E2" s="850"/>
      <c r="F2" s="935"/>
      <c r="G2" s="905" t="s">
        <v>692</v>
      </c>
      <c r="H2" s="906" t="e">
        <f>'6)Compliance Checks'!E47</f>
        <v>#DIV/0!</v>
      </c>
      <c r="I2" s="906" t="str">
        <f>'6)Compliance Checks'!E49</f>
        <v/>
      </c>
      <c r="J2" s="196"/>
      <c r="K2" s="196"/>
      <c r="L2" s="196"/>
      <c r="M2" s="196"/>
      <c r="N2" s="196"/>
      <c r="O2" s="196"/>
      <c r="P2" s="196"/>
      <c r="Q2" s="196"/>
      <c r="R2" s="196"/>
      <c r="S2" s="196"/>
      <c r="T2" s="196"/>
      <c r="U2" s="196"/>
      <c r="V2" s="196"/>
      <c r="W2" s="196"/>
      <c r="X2" s="196"/>
      <c r="Y2" s="196"/>
    </row>
    <row r="3" spans="2:27" s="63" customFormat="1" ht="1.5" customHeight="1">
      <c r="B3" s="141"/>
      <c r="C3" s="1430"/>
      <c r="D3" s="1430"/>
      <c r="E3" s="1430"/>
      <c r="T3" s="1426"/>
      <c r="U3" s="1426"/>
      <c r="V3" s="1426"/>
      <c r="W3" s="1426"/>
      <c r="X3" s="1426"/>
    </row>
    <row r="4" spans="2:27" s="63" customFormat="1" ht="15" customHeight="1">
      <c r="B4" s="689"/>
      <c r="C4" s="689"/>
      <c r="D4" s="689"/>
      <c r="E4" s="690" t="s">
        <v>149</v>
      </c>
      <c r="F4" s="690" t="s">
        <v>149</v>
      </c>
      <c r="G4" s="690" t="s">
        <v>149</v>
      </c>
      <c r="H4" s="691" t="s">
        <v>149</v>
      </c>
      <c r="I4" s="690" t="s">
        <v>149</v>
      </c>
      <c r="J4" s="692" t="s">
        <v>149</v>
      </c>
      <c r="K4" s="690" t="s">
        <v>149</v>
      </c>
      <c r="L4" s="692" t="s">
        <v>149</v>
      </c>
      <c r="M4" s="690" t="s">
        <v>149</v>
      </c>
      <c r="N4" s="690" t="s">
        <v>149</v>
      </c>
      <c r="O4" s="690" t="s">
        <v>149</v>
      </c>
      <c r="P4" s="692" t="s">
        <v>149</v>
      </c>
      <c r="Q4" s="690" t="s">
        <v>149</v>
      </c>
      <c r="R4" s="692" t="s">
        <v>149</v>
      </c>
      <c r="S4" s="690" t="s">
        <v>149</v>
      </c>
      <c r="T4" s="690" t="s">
        <v>149</v>
      </c>
      <c r="U4" s="690" t="s">
        <v>149</v>
      </c>
      <c r="V4" s="690" t="s">
        <v>149</v>
      </c>
      <c r="W4" s="690" t="s">
        <v>149</v>
      </c>
      <c r="X4" s="690" t="s">
        <v>149</v>
      </c>
      <c r="Z4" s="197"/>
      <c r="AA4" s="197"/>
    </row>
    <row r="5" spans="2:27" s="63" customFormat="1" ht="15" customHeight="1">
      <c r="B5" s="689"/>
      <c r="C5" s="1428" t="s">
        <v>244</v>
      </c>
      <c r="D5" s="1428"/>
      <c r="E5" s="693">
        <v>1</v>
      </c>
      <c r="F5" s="693">
        <f t="shared" ref="F5:S5" si="0">E5+1</f>
        <v>2</v>
      </c>
      <c r="G5" s="693">
        <f>F5+1</f>
        <v>3</v>
      </c>
      <c r="H5" s="694">
        <f t="shared" si="0"/>
        <v>4</v>
      </c>
      <c r="I5" s="693">
        <f t="shared" si="0"/>
        <v>5</v>
      </c>
      <c r="J5" s="695">
        <f t="shared" si="0"/>
        <v>6</v>
      </c>
      <c r="K5" s="693">
        <f t="shared" si="0"/>
        <v>7</v>
      </c>
      <c r="L5" s="695">
        <f t="shared" si="0"/>
        <v>8</v>
      </c>
      <c r="M5" s="693">
        <f t="shared" si="0"/>
        <v>9</v>
      </c>
      <c r="N5" s="693">
        <f t="shared" si="0"/>
        <v>10</v>
      </c>
      <c r="O5" s="693">
        <f t="shared" si="0"/>
        <v>11</v>
      </c>
      <c r="P5" s="695">
        <f t="shared" si="0"/>
        <v>12</v>
      </c>
      <c r="Q5" s="693">
        <f t="shared" si="0"/>
        <v>13</v>
      </c>
      <c r="R5" s="695">
        <f t="shared" si="0"/>
        <v>14</v>
      </c>
      <c r="S5" s="693">
        <f t="shared" si="0"/>
        <v>15</v>
      </c>
      <c r="T5" s="693">
        <f>S5+1</f>
        <v>16</v>
      </c>
      <c r="U5" s="693">
        <f>T5+1</f>
        <v>17</v>
      </c>
      <c r="V5" s="693">
        <f>U5+1</f>
        <v>18</v>
      </c>
      <c r="W5" s="693">
        <f>V5+1</f>
        <v>19</v>
      </c>
      <c r="X5" s="693">
        <f>W5+1</f>
        <v>20</v>
      </c>
      <c r="Z5" s="197"/>
      <c r="AA5" s="197"/>
    </row>
    <row r="6" spans="2:27" s="63" customFormat="1" ht="13.8">
      <c r="B6" s="764" t="s">
        <v>242</v>
      </c>
      <c r="C6" s="696" t="s">
        <v>285</v>
      </c>
      <c r="D6" s="696" t="s">
        <v>286</v>
      </c>
      <c r="E6" s="697"/>
      <c r="F6" s="698"/>
      <c r="G6" s="699"/>
      <c r="H6" s="698"/>
      <c r="I6" s="699"/>
      <c r="J6" s="698"/>
      <c r="K6" s="699"/>
      <c r="L6" s="698"/>
      <c r="M6" s="699"/>
      <c r="N6" s="699"/>
      <c r="O6" s="699"/>
      <c r="P6" s="698"/>
      <c r="Q6" s="699"/>
      <c r="R6" s="698"/>
      <c r="S6" s="699"/>
      <c r="T6" s="699"/>
      <c r="U6" s="699"/>
      <c r="V6" s="699"/>
      <c r="W6" s="699"/>
      <c r="X6" s="699"/>
      <c r="Z6" s="197"/>
      <c r="AA6" s="197"/>
    </row>
    <row r="7" spans="2:27" s="704" customFormat="1" ht="13.2">
      <c r="B7" s="700" t="s">
        <v>243</v>
      </c>
      <c r="C7" s="701">
        <f>'0)UnderwritingCriteria'!H10</f>
        <v>0.02</v>
      </c>
      <c r="D7" s="701">
        <f>'0)UnderwritingCriteria'!H11</f>
        <v>0.02</v>
      </c>
      <c r="E7" s="702">
        <f>IF(ISERROR('3)Income'!J76),"",'3)Income'!J76)</f>
        <v>0</v>
      </c>
      <c r="F7" s="703">
        <f>E7*(1+$C$7)</f>
        <v>0</v>
      </c>
      <c r="G7" s="702">
        <f>F7*(1+$C$7)</f>
        <v>0</v>
      </c>
      <c r="H7" s="702">
        <f>G7*(1+$D$7)</f>
        <v>0</v>
      </c>
      <c r="I7" s="702">
        <f>H7*(1+$D$7)</f>
        <v>0</v>
      </c>
      <c r="J7" s="703">
        <f t="shared" ref="J7:S7" si="1">I7*(1+$D$7)</f>
        <v>0</v>
      </c>
      <c r="K7" s="702">
        <f t="shared" si="1"/>
        <v>0</v>
      </c>
      <c r="L7" s="703">
        <f t="shared" si="1"/>
        <v>0</v>
      </c>
      <c r="M7" s="702">
        <f t="shared" si="1"/>
        <v>0</v>
      </c>
      <c r="N7" s="702">
        <f t="shared" si="1"/>
        <v>0</v>
      </c>
      <c r="O7" s="702">
        <f t="shared" si="1"/>
        <v>0</v>
      </c>
      <c r="P7" s="703">
        <f t="shared" si="1"/>
        <v>0</v>
      </c>
      <c r="Q7" s="702">
        <f t="shared" si="1"/>
        <v>0</v>
      </c>
      <c r="R7" s="703">
        <f t="shared" si="1"/>
        <v>0</v>
      </c>
      <c r="S7" s="702">
        <f t="shared" si="1"/>
        <v>0</v>
      </c>
      <c r="T7" s="702">
        <f>S7*(1+$D$7)</f>
        <v>0</v>
      </c>
      <c r="U7" s="702">
        <f>T7*(1+$D$7)</f>
        <v>0</v>
      </c>
      <c r="V7" s="702">
        <f>U7*(1+$D$7)</f>
        <v>0</v>
      </c>
      <c r="W7" s="702">
        <f>V7*(1+$D$7)</f>
        <v>0</v>
      </c>
      <c r="X7" s="702">
        <f>W7*(1+$D$7)</f>
        <v>0</v>
      </c>
      <c r="Z7" s="197"/>
      <c r="AA7" s="197"/>
    </row>
    <row r="8" spans="2:27" s="63" customFormat="1" ht="13.2">
      <c r="B8" s="700" t="s">
        <v>421</v>
      </c>
      <c r="C8" s="701">
        <f>IF(Units&lt;=11,'0)UnderwritingCriteria'!$H$6,'0)UnderwritingCriteria'!H7)</f>
        <v>0.05</v>
      </c>
      <c r="D8" s="701">
        <f>IF(Units&lt;=11,'0)UnderwritingCriteria'!$H$6,'0)UnderwritingCriteria'!H8)</f>
        <v>0.05</v>
      </c>
      <c r="E8" s="702">
        <f>IF(ISERROR(E7*$C$8),"",E7*$C$8)</f>
        <v>0</v>
      </c>
      <c r="F8" s="703">
        <f t="shared" ref="F8:S8" si="2">IF(ISERROR(F7*$C$8),"",F7*$C$8)</f>
        <v>0</v>
      </c>
      <c r="G8" s="702">
        <f t="shared" si="2"/>
        <v>0</v>
      </c>
      <c r="H8" s="703">
        <f t="shared" si="2"/>
        <v>0</v>
      </c>
      <c r="I8" s="702">
        <f t="shared" si="2"/>
        <v>0</v>
      </c>
      <c r="J8" s="703">
        <f t="shared" si="2"/>
        <v>0</v>
      </c>
      <c r="K8" s="702">
        <f t="shared" si="2"/>
        <v>0</v>
      </c>
      <c r="L8" s="703">
        <f t="shared" si="2"/>
        <v>0</v>
      </c>
      <c r="M8" s="702">
        <f t="shared" si="2"/>
        <v>0</v>
      </c>
      <c r="N8" s="702">
        <f t="shared" si="2"/>
        <v>0</v>
      </c>
      <c r="O8" s="702">
        <f t="shared" si="2"/>
        <v>0</v>
      </c>
      <c r="P8" s="703">
        <f t="shared" si="2"/>
        <v>0</v>
      </c>
      <c r="Q8" s="702">
        <f t="shared" si="2"/>
        <v>0</v>
      </c>
      <c r="R8" s="703">
        <f t="shared" si="2"/>
        <v>0</v>
      </c>
      <c r="S8" s="702">
        <f t="shared" si="2"/>
        <v>0</v>
      </c>
      <c r="T8" s="702">
        <f>IF(ISERROR(T7*$C$8),"",T7*$C$8)</f>
        <v>0</v>
      </c>
      <c r="U8" s="702">
        <f>IF(ISERROR(U7*$C$8),"",U7*$C$8)</f>
        <v>0</v>
      </c>
      <c r="V8" s="702">
        <f>IF(ISERROR(V7*$C$8),"",V7*$C$8)</f>
        <v>0</v>
      </c>
      <c r="W8" s="702">
        <f>IF(ISERROR(W7*$C$8),"",W7*$C$8)</f>
        <v>0</v>
      </c>
      <c r="X8" s="702">
        <f>IF(ISERROR(X7*$C$8),"",X7*$C$8)</f>
        <v>0</v>
      </c>
      <c r="Z8" s="197"/>
      <c r="AA8" s="197"/>
    </row>
    <row r="9" spans="2:27" s="341" customFormat="1" ht="13.2">
      <c r="B9" s="705" t="s">
        <v>166</v>
      </c>
      <c r="C9" s="706"/>
      <c r="D9" s="706"/>
      <c r="E9" s="707">
        <f>E7-E8</f>
        <v>0</v>
      </c>
      <c r="F9" s="708">
        <f t="shared" ref="F9:S9" si="3">F7-F8</f>
        <v>0</v>
      </c>
      <c r="G9" s="707">
        <f t="shared" si="3"/>
        <v>0</v>
      </c>
      <c r="H9" s="708">
        <f t="shared" si="3"/>
        <v>0</v>
      </c>
      <c r="I9" s="707">
        <f t="shared" si="3"/>
        <v>0</v>
      </c>
      <c r="J9" s="708">
        <f t="shared" si="3"/>
        <v>0</v>
      </c>
      <c r="K9" s="707">
        <f t="shared" si="3"/>
        <v>0</v>
      </c>
      <c r="L9" s="708">
        <f t="shared" si="3"/>
        <v>0</v>
      </c>
      <c r="M9" s="707">
        <f t="shared" si="3"/>
        <v>0</v>
      </c>
      <c r="N9" s="707">
        <f t="shared" si="3"/>
        <v>0</v>
      </c>
      <c r="O9" s="707">
        <f t="shared" si="3"/>
        <v>0</v>
      </c>
      <c r="P9" s="708">
        <f t="shared" si="3"/>
        <v>0</v>
      </c>
      <c r="Q9" s="707">
        <f t="shared" si="3"/>
        <v>0</v>
      </c>
      <c r="R9" s="708">
        <f t="shared" si="3"/>
        <v>0</v>
      </c>
      <c r="S9" s="707">
        <f t="shared" si="3"/>
        <v>0</v>
      </c>
      <c r="T9" s="707">
        <f>T7-T8</f>
        <v>0</v>
      </c>
      <c r="U9" s="707">
        <f>U7-U8</f>
        <v>0</v>
      </c>
      <c r="V9" s="707">
        <f>V7-V8</f>
        <v>0</v>
      </c>
      <c r="W9" s="707">
        <f>W7-W8</f>
        <v>0</v>
      </c>
      <c r="X9" s="707">
        <f>X7-X8</f>
        <v>0</v>
      </c>
      <c r="Z9" s="197"/>
      <c r="AA9" s="197"/>
    </row>
    <row r="10" spans="2:27" s="63" customFormat="1" ht="13.2">
      <c r="B10" s="700" t="s">
        <v>167</v>
      </c>
      <c r="C10" s="709"/>
      <c r="D10" s="710"/>
      <c r="E10" s="702">
        <f>IF(ISERROR('3)Income'!J94),"",'3)Income'!J94)</f>
        <v>0</v>
      </c>
      <c r="F10" s="703">
        <f>E10*(1+$C$7)</f>
        <v>0</v>
      </c>
      <c r="G10" s="702">
        <f>F10*(1+$C$7)</f>
        <v>0</v>
      </c>
      <c r="H10" s="703">
        <f>G10*(1+$C$7)</f>
        <v>0</v>
      </c>
      <c r="I10" s="702">
        <f>H10*(1+$D$7)</f>
        <v>0</v>
      </c>
      <c r="J10" s="703">
        <f t="shared" ref="J10:S10" si="4">I10*(1+$D$7)</f>
        <v>0</v>
      </c>
      <c r="K10" s="702">
        <f t="shared" si="4"/>
        <v>0</v>
      </c>
      <c r="L10" s="703">
        <f t="shared" si="4"/>
        <v>0</v>
      </c>
      <c r="M10" s="702">
        <f t="shared" si="4"/>
        <v>0</v>
      </c>
      <c r="N10" s="702">
        <f t="shared" si="4"/>
        <v>0</v>
      </c>
      <c r="O10" s="702">
        <f t="shared" si="4"/>
        <v>0</v>
      </c>
      <c r="P10" s="703">
        <f t="shared" si="4"/>
        <v>0</v>
      </c>
      <c r="Q10" s="702">
        <f t="shared" si="4"/>
        <v>0</v>
      </c>
      <c r="R10" s="703">
        <f t="shared" si="4"/>
        <v>0</v>
      </c>
      <c r="S10" s="702">
        <f t="shared" si="4"/>
        <v>0</v>
      </c>
      <c r="T10" s="702">
        <f>S10*(1+$D$7)</f>
        <v>0</v>
      </c>
      <c r="U10" s="702">
        <f>T10*(1+$D$7)</f>
        <v>0</v>
      </c>
      <c r="V10" s="702">
        <f>U10*(1+$D$7)</f>
        <v>0</v>
      </c>
      <c r="W10" s="702">
        <f>V10*(1+$D$7)</f>
        <v>0</v>
      </c>
      <c r="X10" s="702">
        <f>W10*(1+$D$7)</f>
        <v>0</v>
      </c>
      <c r="Z10" s="197"/>
      <c r="AA10" s="197"/>
    </row>
    <row r="11" spans="2:27" s="63" customFormat="1" ht="13.2">
      <c r="B11" s="700" t="s">
        <v>89</v>
      </c>
      <c r="C11" s="709"/>
      <c r="D11" s="710"/>
      <c r="E11" s="702">
        <f>'3)Income'!E100</f>
        <v>0</v>
      </c>
      <c r="F11" s="703">
        <f>'3)Income'!F100</f>
        <v>0</v>
      </c>
      <c r="G11" s="702">
        <f>'3)Income'!G100</f>
        <v>0</v>
      </c>
      <c r="H11" s="703">
        <f>'3)Income'!H100</f>
        <v>0</v>
      </c>
      <c r="I11" s="702">
        <f>'3)Income'!I100</f>
        <v>0</v>
      </c>
      <c r="J11" s="926"/>
      <c r="K11" s="927"/>
      <c r="L11" s="926"/>
      <c r="M11" s="927"/>
      <c r="N11" s="927"/>
      <c r="O11" s="927"/>
      <c r="P11" s="926"/>
      <c r="Q11" s="927"/>
      <c r="R11" s="926"/>
      <c r="S11" s="927"/>
      <c r="T11" s="927"/>
      <c r="U11" s="927"/>
      <c r="V11" s="927"/>
      <c r="W11" s="927"/>
      <c r="X11" s="927"/>
    </row>
    <row r="12" spans="2:27" s="63" customFormat="1" ht="13.2">
      <c r="B12" s="711" t="s">
        <v>374</v>
      </c>
      <c r="C12" s="712"/>
      <c r="D12" s="713"/>
      <c r="E12" s="714">
        <f>E9+E10+E11</f>
        <v>0</v>
      </c>
      <c r="F12" s="715">
        <f t="shared" ref="F12:S12" si="5">F9+F10+F11</f>
        <v>0</v>
      </c>
      <c r="G12" s="714">
        <f t="shared" si="5"/>
        <v>0</v>
      </c>
      <c r="H12" s="715">
        <f t="shared" si="5"/>
        <v>0</v>
      </c>
      <c r="I12" s="714">
        <f t="shared" si="5"/>
        <v>0</v>
      </c>
      <c r="J12" s="715">
        <f t="shared" si="5"/>
        <v>0</v>
      </c>
      <c r="K12" s="714">
        <f t="shared" si="5"/>
        <v>0</v>
      </c>
      <c r="L12" s="715">
        <f t="shared" si="5"/>
        <v>0</v>
      </c>
      <c r="M12" s="714">
        <f t="shared" si="5"/>
        <v>0</v>
      </c>
      <c r="N12" s="714">
        <f t="shared" si="5"/>
        <v>0</v>
      </c>
      <c r="O12" s="714">
        <f t="shared" si="5"/>
        <v>0</v>
      </c>
      <c r="P12" s="715">
        <f t="shared" si="5"/>
        <v>0</v>
      </c>
      <c r="Q12" s="714">
        <f t="shared" si="5"/>
        <v>0</v>
      </c>
      <c r="R12" s="715">
        <f t="shared" si="5"/>
        <v>0</v>
      </c>
      <c r="S12" s="714">
        <f t="shared" si="5"/>
        <v>0</v>
      </c>
      <c r="T12" s="714">
        <f>T9+T10+T11</f>
        <v>0</v>
      </c>
      <c r="U12" s="714">
        <f>U9+U10+U11</f>
        <v>0</v>
      </c>
      <c r="V12" s="714">
        <f>V9+V10+V11</f>
        <v>0</v>
      </c>
      <c r="W12" s="714">
        <f>W9+W10+W11</f>
        <v>0</v>
      </c>
      <c r="X12" s="714">
        <f>X9+X10+X11</f>
        <v>0</v>
      </c>
    </row>
    <row r="13" spans="2:27" s="187" customFormat="1" ht="13.2">
      <c r="B13" s="716" t="s">
        <v>161</v>
      </c>
      <c r="C13" s="717"/>
      <c r="D13" s="716"/>
      <c r="E13" s="718" t="str">
        <f t="shared" ref="E13:X13" si="6">IFERROR(E12/Units,"-")</f>
        <v>-</v>
      </c>
      <c r="F13" s="718" t="str">
        <f t="shared" si="6"/>
        <v>-</v>
      </c>
      <c r="G13" s="718" t="str">
        <f t="shared" si="6"/>
        <v>-</v>
      </c>
      <c r="H13" s="718" t="str">
        <f t="shared" si="6"/>
        <v>-</v>
      </c>
      <c r="I13" s="718" t="str">
        <f t="shared" si="6"/>
        <v>-</v>
      </c>
      <c r="J13" s="718" t="str">
        <f t="shared" si="6"/>
        <v>-</v>
      </c>
      <c r="K13" s="718" t="str">
        <f t="shared" si="6"/>
        <v>-</v>
      </c>
      <c r="L13" s="718" t="str">
        <f t="shared" si="6"/>
        <v>-</v>
      </c>
      <c r="M13" s="718" t="str">
        <f t="shared" si="6"/>
        <v>-</v>
      </c>
      <c r="N13" s="718" t="str">
        <f t="shared" si="6"/>
        <v>-</v>
      </c>
      <c r="O13" s="718" t="str">
        <f t="shared" si="6"/>
        <v>-</v>
      </c>
      <c r="P13" s="718" t="str">
        <f t="shared" si="6"/>
        <v>-</v>
      </c>
      <c r="Q13" s="718" t="str">
        <f t="shared" si="6"/>
        <v>-</v>
      </c>
      <c r="R13" s="718" t="str">
        <f t="shared" si="6"/>
        <v>-</v>
      </c>
      <c r="S13" s="718" t="str">
        <f t="shared" si="6"/>
        <v>-</v>
      </c>
      <c r="T13" s="718" t="str">
        <f t="shared" si="6"/>
        <v>-</v>
      </c>
      <c r="U13" s="718" t="str">
        <f t="shared" si="6"/>
        <v>-</v>
      </c>
      <c r="V13" s="718" t="str">
        <f t="shared" si="6"/>
        <v>-</v>
      </c>
      <c r="W13" s="718" t="str">
        <f t="shared" si="6"/>
        <v>-</v>
      </c>
      <c r="X13" s="718" t="str">
        <f t="shared" si="6"/>
        <v>-</v>
      </c>
    </row>
    <row r="14" spans="2:27" s="63" customFormat="1" ht="13.2">
      <c r="B14" s="719"/>
      <c r="C14" s="719"/>
      <c r="D14" s="720"/>
      <c r="E14" s="702"/>
      <c r="F14" s="703"/>
      <c r="G14" s="702"/>
      <c r="H14" s="703"/>
      <c r="I14" s="702"/>
      <c r="J14" s="703"/>
      <c r="K14" s="702"/>
      <c r="L14" s="703"/>
      <c r="M14" s="702"/>
      <c r="N14" s="702"/>
      <c r="O14" s="702"/>
      <c r="P14" s="703"/>
      <c r="Q14" s="702"/>
      <c r="R14" s="703"/>
      <c r="S14" s="702"/>
      <c r="T14" s="702"/>
      <c r="U14" s="702"/>
      <c r="V14" s="702"/>
      <c r="W14" s="702"/>
      <c r="X14" s="702"/>
    </row>
    <row r="15" spans="2:27" s="63" customFormat="1" ht="13.8">
      <c r="B15" s="764" t="s">
        <v>0</v>
      </c>
      <c r="C15" s="1431" t="s">
        <v>244</v>
      </c>
      <c r="D15" s="1431"/>
      <c r="E15" s="702"/>
      <c r="F15" s="703"/>
      <c r="G15" s="702"/>
      <c r="H15" s="703"/>
      <c r="I15" s="702"/>
      <c r="J15" s="703"/>
      <c r="K15" s="702"/>
      <c r="L15" s="703"/>
      <c r="M15" s="702"/>
      <c r="N15" s="702"/>
      <c r="O15" s="702"/>
      <c r="P15" s="703"/>
      <c r="Q15" s="702"/>
      <c r="R15" s="703"/>
      <c r="S15" s="702"/>
      <c r="T15" s="702"/>
      <c r="U15" s="702"/>
      <c r="V15" s="702"/>
      <c r="W15" s="702"/>
      <c r="X15" s="702"/>
    </row>
    <row r="16" spans="2:27" s="63" customFormat="1" ht="13.2">
      <c r="B16" s="700" t="s">
        <v>31</v>
      </c>
      <c r="C16" s="721"/>
      <c r="D16" s="722">
        <f>'0)UnderwritingCriteria'!H13</f>
        <v>0.03</v>
      </c>
      <c r="E16" s="702">
        <f>'4)Expenses'!$C$21</f>
        <v>0</v>
      </c>
      <c r="F16" s="703">
        <f>E16*(1+$D$16)</f>
        <v>0</v>
      </c>
      <c r="G16" s="702">
        <f t="shared" ref="G16:S16" si="7">F16*(1+$D$16)</f>
        <v>0</v>
      </c>
      <c r="H16" s="703">
        <f t="shared" si="7"/>
        <v>0</v>
      </c>
      <c r="I16" s="702">
        <f t="shared" si="7"/>
        <v>0</v>
      </c>
      <c r="J16" s="703">
        <f t="shared" si="7"/>
        <v>0</v>
      </c>
      <c r="K16" s="702">
        <f t="shared" si="7"/>
        <v>0</v>
      </c>
      <c r="L16" s="703">
        <f t="shared" si="7"/>
        <v>0</v>
      </c>
      <c r="M16" s="702">
        <f t="shared" si="7"/>
        <v>0</v>
      </c>
      <c r="N16" s="702">
        <f t="shared" si="7"/>
        <v>0</v>
      </c>
      <c r="O16" s="702">
        <f t="shared" si="7"/>
        <v>0</v>
      </c>
      <c r="P16" s="703">
        <f t="shared" si="7"/>
        <v>0</v>
      </c>
      <c r="Q16" s="702">
        <f t="shared" si="7"/>
        <v>0</v>
      </c>
      <c r="R16" s="703">
        <f t="shared" si="7"/>
        <v>0</v>
      </c>
      <c r="S16" s="702">
        <f t="shared" si="7"/>
        <v>0</v>
      </c>
      <c r="T16" s="702">
        <f>S16*(1+$D$16)</f>
        <v>0</v>
      </c>
      <c r="U16" s="702">
        <f>T16*(1+$D$16)</f>
        <v>0</v>
      </c>
      <c r="V16" s="702">
        <f>U16*(1+$D$16)</f>
        <v>0</v>
      </c>
      <c r="W16" s="702">
        <f>V16*(1+$D$16)</f>
        <v>0</v>
      </c>
      <c r="X16" s="702">
        <f>W16*(1+$D$16)</f>
        <v>0</v>
      </c>
    </row>
    <row r="17" spans="2:37" s="63" customFormat="1" ht="13.2">
      <c r="B17" s="700" t="s">
        <v>40</v>
      </c>
      <c r="C17" s="721"/>
      <c r="D17" s="722">
        <f>'0)UnderwritingCriteria'!H14</f>
        <v>0.03</v>
      </c>
      <c r="E17" s="702">
        <f>'4)Expenses'!$C$31</f>
        <v>0</v>
      </c>
      <c r="F17" s="703">
        <f>E17*(1+$D$17)</f>
        <v>0</v>
      </c>
      <c r="G17" s="702">
        <f t="shared" ref="G17:S17" si="8">F17*(1+$D$17)</f>
        <v>0</v>
      </c>
      <c r="H17" s="703">
        <f t="shared" si="8"/>
        <v>0</v>
      </c>
      <c r="I17" s="702">
        <f t="shared" si="8"/>
        <v>0</v>
      </c>
      <c r="J17" s="703">
        <f t="shared" si="8"/>
        <v>0</v>
      </c>
      <c r="K17" s="702">
        <f t="shared" si="8"/>
        <v>0</v>
      </c>
      <c r="L17" s="703">
        <f t="shared" si="8"/>
        <v>0</v>
      </c>
      <c r="M17" s="702">
        <f t="shared" si="8"/>
        <v>0</v>
      </c>
      <c r="N17" s="702">
        <f t="shared" si="8"/>
        <v>0</v>
      </c>
      <c r="O17" s="702">
        <f t="shared" si="8"/>
        <v>0</v>
      </c>
      <c r="P17" s="703">
        <f t="shared" si="8"/>
        <v>0</v>
      </c>
      <c r="Q17" s="702">
        <f t="shared" si="8"/>
        <v>0</v>
      </c>
      <c r="R17" s="703">
        <f t="shared" si="8"/>
        <v>0</v>
      </c>
      <c r="S17" s="702">
        <f t="shared" si="8"/>
        <v>0</v>
      </c>
      <c r="T17" s="702">
        <f>S17*(1+$D$17)</f>
        <v>0</v>
      </c>
      <c r="U17" s="702">
        <f>T17*(1+$D$17)</f>
        <v>0</v>
      </c>
      <c r="V17" s="702">
        <f>U17*(1+$D$17)</f>
        <v>0</v>
      </c>
      <c r="W17" s="702">
        <f>V17*(1+$D$17)</f>
        <v>0</v>
      </c>
      <c r="X17" s="702">
        <f>W17*(1+$D$17)</f>
        <v>0</v>
      </c>
    </row>
    <row r="18" spans="2:37" s="63" customFormat="1" ht="13.2">
      <c r="B18" s="700" t="s">
        <v>46</v>
      </c>
      <c r="C18" s="721"/>
      <c r="D18" s="722">
        <f>'0)UnderwritingCriteria'!H15</f>
        <v>0.03</v>
      </c>
      <c r="E18" s="702">
        <f>'4)Expenses'!$C$38</f>
        <v>0</v>
      </c>
      <c r="F18" s="703">
        <f>E18*(1+$D$18)</f>
        <v>0</v>
      </c>
      <c r="G18" s="702">
        <f t="shared" ref="G18:S18" si="9">F18*(1+$D$18)</f>
        <v>0</v>
      </c>
      <c r="H18" s="703">
        <f t="shared" si="9"/>
        <v>0</v>
      </c>
      <c r="I18" s="702">
        <f t="shared" si="9"/>
        <v>0</v>
      </c>
      <c r="J18" s="703">
        <f t="shared" si="9"/>
        <v>0</v>
      </c>
      <c r="K18" s="702">
        <f t="shared" si="9"/>
        <v>0</v>
      </c>
      <c r="L18" s="703">
        <f t="shared" si="9"/>
        <v>0</v>
      </c>
      <c r="M18" s="702">
        <f t="shared" si="9"/>
        <v>0</v>
      </c>
      <c r="N18" s="702">
        <f t="shared" si="9"/>
        <v>0</v>
      </c>
      <c r="O18" s="702">
        <f t="shared" si="9"/>
        <v>0</v>
      </c>
      <c r="P18" s="703">
        <f t="shared" si="9"/>
        <v>0</v>
      </c>
      <c r="Q18" s="702">
        <f t="shared" si="9"/>
        <v>0</v>
      </c>
      <c r="R18" s="703">
        <f t="shared" si="9"/>
        <v>0</v>
      </c>
      <c r="S18" s="702">
        <f t="shared" si="9"/>
        <v>0</v>
      </c>
      <c r="T18" s="702">
        <f>S18*(1+$D$18)</f>
        <v>0</v>
      </c>
      <c r="U18" s="702">
        <f>T18*(1+$D$18)</f>
        <v>0</v>
      </c>
      <c r="V18" s="702">
        <f>U18*(1+$D$18)</f>
        <v>0</v>
      </c>
      <c r="W18" s="702">
        <f>V18*(1+$D$18)</f>
        <v>0</v>
      </c>
      <c r="X18" s="702">
        <f>W18*(1+$D$18)</f>
        <v>0</v>
      </c>
    </row>
    <row r="19" spans="2:37" s="63" customFormat="1" ht="13.2">
      <c r="B19" s="700" t="s">
        <v>51</v>
      </c>
      <c r="C19" s="721"/>
      <c r="D19" s="722">
        <f>'0)UnderwritingCriteria'!H16</f>
        <v>0.03</v>
      </c>
      <c r="E19" s="702">
        <f>'4)Expenses'!$C$46</f>
        <v>0</v>
      </c>
      <c r="F19" s="703">
        <f>E19*(1+$D$19)</f>
        <v>0</v>
      </c>
      <c r="G19" s="702">
        <f t="shared" ref="G19:S19" si="10">F19*(1+$D$19)</f>
        <v>0</v>
      </c>
      <c r="H19" s="703">
        <f t="shared" si="10"/>
        <v>0</v>
      </c>
      <c r="I19" s="702">
        <f t="shared" si="10"/>
        <v>0</v>
      </c>
      <c r="J19" s="703">
        <f t="shared" si="10"/>
        <v>0</v>
      </c>
      <c r="K19" s="702">
        <f t="shared" si="10"/>
        <v>0</v>
      </c>
      <c r="L19" s="703">
        <f t="shared" si="10"/>
        <v>0</v>
      </c>
      <c r="M19" s="702">
        <f t="shared" si="10"/>
        <v>0</v>
      </c>
      <c r="N19" s="702">
        <f t="shared" si="10"/>
        <v>0</v>
      </c>
      <c r="O19" s="702">
        <f t="shared" si="10"/>
        <v>0</v>
      </c>
      <c r="P19" s="703">
        <f t="shared" si="10"/>
        <v>0</v>
      </c>
      <c r="Q19" s="702">
        <f t="shared" si="10"/>
        <v>0</v>
      </c>
      <c r="R19" s="703">
        <f t="shared" si="10"/>
        <v>0</v>
      </c>
      <c r="S19" s="702">
        <f t="shared" si="10"/>
        <v>0</v>
      </c>
      <c r="T19" s="702">
        <f>S19*(1+$D$19)</f>
        <v>0</v>
      </c>
      <c r="U19" s="702">
        <f>T19*(1+$D$19)</f>
        <v>0</v>
      </c>
      <c r="V19" s="702">
        <f>U19*(1+$D$19)</f>
        <v>0</v>
      </c>
      <c r="W19" s="702">
        <f>V19*(1+$D$19)</f>
        <v>0</v>
      </c>
      <c r="X19" s="702">
        <f>W19*(1+$D$19)</f>
        <v>0</v>
      </c>
    </row>
    <row r="20" spans="2:37" s="63" customFormat="1" ht="13.2">
      <c r="B20" s="711" t="s">
        <v>234</v>
      </c>
      <c r="C20" s="712"/>
      <c r="D20" s="713"/>
      <c r="E20" s="714">
        <f t="shared" ref="E20:S20" si="11">SUM(E16:E19)</f>
        <v>0</v>
      </c>
      <c r="F20" s="715">
        <f t="shared" si="11"/>
        <v>0</v>
      </c>
      <c r="G20" s="714">
        <f t="shared" si="11"/>
        <v>0</v>
      </c>
      <c r="H20" s="715">
        <f t="shared" si="11"/>
        <v>0</v>
      </c>
      <c r="I20" s="714">
        <f t="shared" si="11"/>
        <v>0</v>
      </c>
      <c r="J20" s="715">
        <f t="shared" si="11"/>
        <v>0</v>
      </c>
      <c r="K20" s="714">
        <f t="shared" si="11"/>
        <v>0</v>
      </c>
      <c r="L20" s="715">
        <f t="shared" si="11"/>
        <v>0</v>
      </c>
      <c r="M20" s="714">
        <f t="shared" si="11"/>
        <v>0</v>
      </c>
      <c r="N20" s="714">
        <f t="shared" si="11"/>
        <v>0</v>
      </c>
      <c r="O20" s="714">
        <f t="shared" si="11"/>
        <v>0</v>
      </c>
      <c r="P20" s="715">
        <f t="shared" si="11"/>
        <v>0</v>
      </c>
      <c r="Q20" s="714">
        <f t="shared" si="11"/>
        <v>0</v>
      </c>
      <c r="R20" s="715">
        <f t="shared" si="11"/>
        <v>0</v>
      </c>
      <c r="S20" s="714">
        <f t="shared" si="11"/>
        <v>0</v>
      </c>
      <c r="T20" s="714">
        <f>SUM(T16:T19)</f>
        <v>0</v>
      </c>
      <c r="U20" s="714">
        <f>SUM(U16:U19)</f>
        <v>0</v>
      </c>
      <c r="V20" s="714">
        <f>SUM(V16:V19)</f>
        <v>0</v>
      </c>
      <c r="W20" s="714">
        <f>SUM(W16:W19)</f>
        <v>0</v>
      </c>
      <c r="X20" s="714">
        <f>SUM(X16:X19)</f>
        <v>0</v>
      </c>
    </row>
    <row r="21" spans="2:37" s="187" customFormat="1" ht="13.2">
      <c r="B21" s="716" t="s">
        <v>161</v>
      </c>
      <c r="C21" s="717"/>
      <c r="D21" s="716"/>
      <c r="E21" s="718" t="str">
        <f t="shared" ref="E21:X21" si="12">IFERROR(E20/Units,"-")</f>
        <v>-</v>
      </c>
      <c r="F21" s="718" t="str">
        <f t="shared" si="12"/>
        <v>-</v>
      </c>
      <c r="G21" s="718" t="str">
        <f t="shared" si="12"/>
        <v>-</v>
      </c>
      <c r="H21" s="718" t="str">
        <f t="shared" si="12"/>
        <v>-</v>
      </c>
      <c r="I21" s="718" t="str">
        <f t="shared" si="12"/>
        <v>-</v>
      </c>
      <c r="J21" s="718" t="str">
        <f t="shared" si="12"/>
        <v>-</v>
      </c>
      <c r="K21" s="718" t="str">
        <f t="shared" si="12"/>
        <v>-</v>
      </c>
      <c r="L21" s="718" t="str">
        <f t="shared" si="12"/>
        <v>-</v>
      </c>
      <c r="M21" s="718" t="str">
        <f t="shared" si="12"/>
        <v>-</v>
      </c>
      <c r="N21" s="718" t="str">
        <f t="shared" si="12"/>
        <v>-</v>
      </c>
      <c r="O21" s="718" t="str">
        <f t="shared" si="12"/>
        <v>-</v>
      </c>
      <c r="P21" s="718" t="str">
        <f t="shared" si="12"/>
        <v>-</v>
      </c>
      <c r="Q21" s="718" t="str">
        <f t="shared" si="12"/>
        <v>-</v>
      </c>
      <c r="R21" s="718" t="str">
        <f t="shared" si="12"/>
        <v>-</v>
      </c>
      <c r="S21" s="718" t="str">
        <f t="shared" si="12"/>
        <v>-</v>
      </c>
      <c r="T21" s="718" t="str">
        <f t="shared" si="12"/>
        <v>-</v>
      </c>
      <c r="U21" s="718" t="str">
        <f t="shared" si="12"/>
        <v>-</v>
      </c>
      <c r="V21" s="718" t="str">
        <f t="shared" si="12"/>
        <v>-</v>
      </c>
      <c r="W21" s="718" t="str">
        <f t="shared" si="12"/>
        <v>-</v>
      </c>
      <c r="X21" s="718" t="str">
        <f t="shared" si="12"/>
        <v>-</v>
      </c>
    </row>
    <row r="22" spans="2:37" s="63" customFormat="1" ht="13.2">
      <c r="B22" s="705"/>
      <c r="C22" s="723"/>
      <c r="D22" s="710"/>
      <c r="E22" s="702"/>
      <c r="F22" s="703"/>
      <c r="G22" s="702"/>
      <c r="H22" s="703"/>
      <c r="I22" s="702"/>
      <c r="J22" s="703"/>
      <c r="K22" s="702"/>
      <c r="L22" s="703"/>
      <c r="M22" s="702"/>
      <c r="N22" s="702"/>
      <c r="O22" s="702"/>
      <c r="P22" s="703"/>
      <c r="Q22" s="702"/>
      <c r="R22" s="703"/>
      <c r="S22" s="702"/>
      <c r="T22" s="702"/>
      <c r="U22" s="702"/>
      <c r="V22" s="702"/>
      <c r="W22" s="702"/>
      <c r="X22" s="702"/>
    </row>
    <row r="23" spans="2:37" s="63" customFormat="1" ht="13.2">
      <c r="B23" s="724"/>
      <c r="C23" s="1428" t="s">
        <v>245</v>
      </c>
      <c r="D23" s="1428"/>
      <c r="E23" s="702"/>
      <c r="F23" s="703"/>
      <c r="G23" s="702"/>
      <c r="H23" s="703"/>
      <c r="I23" s="702"/>
      <c r="J23" s="703"/>
      <c r="K23" s="702"/>
      <c r="L23" s="703"/>
      <c r="M23" s="702"/>
      <c r="N23" s="702"/>
      <c r="O23" s="702"/>
      <c r="P23" s="703"/>
      <c r="Q23" s="702"/>
      <c r="R23" s="703"/>
      <c r="S23" s="702"/>
      <c r="T23" s="702"/>
      <c r="U23" s="702"/>
      <c r="V23" s="702"/>
      <c r="W23" s="702"/>
      <c r="X23" s="702"/>
    </row>
    <row r="24" spans="2:37" s="63" customFormat="1" ht="13.2">
      <c r="B24" s="721" t="s">
        <v>1</v>
      </c>
      <c r="C24" s="1429">
        <f>MAX('0)UnderwritingCriteria'!H18:H19)</f>
        <v>325</v>
      </c>
      <c r="D24" s="1429"/>
      <c r="E24" s="702">
        <f>C24*Units</f>
        <v>0</v>
      </c>
      <c r="F24" s="702">
        <f>E24*(1+$D$17)</f>
        <v>0</v>
      </c>
      <c r="G24" s="702">
        <f t="shared" ref="G24:S24" si="13">F24*(1+$D$17)</f>
        <v>0</v>
      </c>
      <c r="H24" s="702">
        <f t="shared" si="13"/>
        <v>0</v>
      </c>
      <c r="I24" s="702">
        <f t="shared" si="13"/>
        <v>0</v>
      </c>
      <c r="J24" s="702">
        <f t="shared" si="13"/>
        <v>0</v>
      </c>
      <c r="K24" s="702">
        <f t="shared" si="13"/>
        <v>0</v>
      </c>
      <c r="L24" s="702">
        <f t="shared" si="13"/>
        <v>0</v>
      </c>
      <c r="M24" s="702">
        <f t="shared" si="13"/>
        <v>0</v>
      </c>
      <c r="N24" s="702">
        <f t="shared" si="13"/>
        <v>0</v>
      </c>
      <c r="O24" s="702">
        <f t="shared" si="13"/>
        <v>0</v>
      </c>
      <c r="P24" s="702">
        <f t="shared" si="13"/>
        <v>0</v>
      </c>
      <c r="Q24" s="702">
        <f t="shared" si="13"/>
        <v>0</v>
      </c>
      <c r="R24" s="702">
        <f t="shared" si="13"/>
        <v>0</v>
      </c>
      <c r="S24" s="702">
        <f t="shared" si="13"/>
        <v>0</v>
      </c>
      <c r="T24" s="702">
        <f>S24*(1+$D$17)</f>
        <v>0</v>
      </c>
      <c r="U24" s="702">
        <f>T24*(1+$D$17)</f>
        <v>0</v>
      </c>
      <c r="V24" s="702">
        <f>U24*(1+$D$17)</f>
        <v>0</v>
      </c>
      <c r="W24" s="702">
        <f>V24*(1+$D$17)</f>
        <v>0</v>
      </c>
      <c r="X24" s="702">
        <f>W24*(1+$D$17)</f>
        <v>0</v>
      </c>
      <c r="AK24" s="725"/>
    </row>
    <row r="25" spans="2:37" s="63" customFormat="1" ht="13.2">
      <c r="B25" s="711" t="s">
        <v>240</v>
      </c>
      <c r="C25" s="712"/>
      <c r="D25" s="713"/>
      <c r="E25" s="714">
        <f>E12-E20-E24</f>
        <v>0</v>
      </c>
      <c r="F25" s="714">
        <f t="shared" ref="F25:S25" si="14">F12-F20-F24</f>
        <v>0</v>
      </c>
      <c r="G25" s="714">
        <f t="shared" si="14"/>
        <v>0</v>
      </c>
      <c r="H25" s="714">
        <f t="shared" si="14"/>
        <v>0</v>
      </c>
      <c r="I25" s="714">
        <f t="shared" si="14"/>
        <v>0</v>
      </c>
      <c r="J25" s="714">
        <f t="shared" si="14"/>
        <v>0</v>
      </c>
      <c r="K25" s="714">
        <f t="shared" si="14"/>
        <v>0</v>
      </c>
      <c r="L25" s="714">
        <f t="shared" si="14"/>
        <v>0</v>
      </c>
      <c r="M25" s="714">
        <f t="shared" si="14"/>
        <v>0</v>
      </c>
      <c r="N25" s="714">
        <f t="shared" si="14"/>
        <v>0</v>
      </c>
      <c r="O25" s="714">
        <f t="shared" si="14"/>
        <v>0</v>
      </c>
      <c r="P25" s="714">
        <f t="shared" si="14"/>
        <v>0</v>
      </c>
      <c r="Q25" s="714">
        <f t="shared" si="14"/>
        <v>0</v>
      </c>
      <c r="R25" s="714">
        <f t="shared" si="14"/>
        <v>0</v>
      </c>
      <c r="S25" s="714">
        <f t="shared" si="14"/>
        <v>0</v>
      </c>
      <c r="T25" s="714">
        <f>T12-T20-T24</f>
        <v>0</v>
      </c>
      <c r="U25" s="714">
        <f>U12-U20-U24</f>
        <v>0</v>
      </c>
      <c r="V25" s="714">
        <f>V12-V20-V24</f>
        <v>0</v>
      </c>
      <c r="W25" s="714">
        <f>W12-W20-W24</f>
        <v>0</v>
      </c>
      <c r="X25" s="714">
        <f>X12-X20-X24</f>
        <v>0</v>
      </c>
    </row>
    <row r="26" spans="2:37" s="187" customFormat="1" ht="13.2">
      <c r="B26" s="716" t="s">
        <v>161</v>
      </c>
      <c r="C26" s="717"/>
      <c r="D26" s="716"/>
      <c r="E26" s="718" t="str">
        <f t="shared" ref="E26:X26" si="15">IFERROR(E25/Units,"-")</f>
        <v>-</v>
      </c>
      <c r="F26" s="718" t="str">
        <f t="shared" si="15"/>
        <v>-</v>
      </c>
      <c r="G26" s="718" t="str">
        <f t="shared" si="15"/>
        <v>-</v>
      </c>
      <c r="H26" s="718" t="str">
        <f t="shared" si="15"/>
        <v>-</v>
      </c>
      <c r="I26" s="718" t="str">
        <f t="shared" si="15"/>
        <v>-</v>
      </c>
      <c r="J26" s="718" t="str">
        <f t="shared" si="15"/>
        <v>-</v>
      </c>
      <c r="K26" s="718" t="str">
        <f t="shared" si="15"/>
        <v>-</v>
      </c>
      <c r="L26" s="718" t="str">
        <f t="shared" si="15"/>
        <v>-</v>
      </c>
      <c r="M26" s="718" t="str">
        <f t="shared" si="15"/>
        <v>-</v>
      </c>
      <c r="N26" s="718" t="str">
        <f t="shared" si="15"/>
        <v>-</v>
      </c>
      <c r="O26" s="718" t="str">
        <f t="shared" si="15"/>
        <v>-</v>
      </c>
      <c r="P26" s="718" t="str">
        <f t="shared" si="15"/>
        <v>-</v>
      </c>
      <c r="Q26" s="718" t="str">
        <f t="shared" si="15"/>
        <v>-</v>
      </c>
      <c r="R26" s="718" t="str">
        <f t="shared" si="15"/>
        <v>-</v>
      </c>
      <c r="S26" s="718" t="str">
        <f t="shared" si="15"/>
        <v>-</v>
      </c>
      <c r="T26" s="718" t="str">
        <f t="shared" si="15"/>
        <v>-</v>
      </c>
      <c r="U26" s="718" t="str">
        <f t="shared" si="15"/>
        <v>-</v>
      </c>
      <c r="V26" s="718" t="str">
        <f t="shared" si="15"/>
        <v>-</v>
      </c>
      <c r="W26" s="718" t="str">
        <f t="shared" si="15"/>
        <v>-</v>
      </c>
      <c r="X26" s="718" t="str">
        <f t="shared" si="15"/>
        <v>-</v>
      </c>
    </row>
    <row r="27" spans="2:37" s="63" customFormat="1" ht="9" customHeight="1">
      <c r="B27" s="705"/>
      <c r="C27" s="719"/>
      <c r="D27" s="710"/>
      <c r="E27" s="702"/>
      <c r="F27" s="703"/>
      <c r="G27" s="702"/>
      <c r="H27" s="703"/>
      <c r="I27" s="702"/>
      <c r="J27" s="703"/>
      <c r="K27" s="702"/>
      <c r="L27" s="703"/>
      <c r="M27" s="702"/>
      <c r="N27" s="702"/>
      <c r="O27" s="702"/>
      <c r="P27" s="703"/>
      <c r="Q27" s="702"/>
      <c r="R27" s="703"/>
      <c r="S27" s="702"/>
      <c r="T27" s="702"/>
      <c r="U27" s="702"/>
      <c r="V27" s="702"/>
      <c r="W27" s="702"/>
      <c r="X27" s="702"/>
    </row>
    <row r="28" spans="2:37" s="39" customFormat="1" ht="13.8">
      <c r="B28" s="764" t="s">
        <v>241</v>
      </c>
      <c r="C28" s="726"/>
      <c r="D28" s="727"/>
      <c r="E28" s="728"/>
      <c r="F28" s="729"/>
      <c r="G28" s="728"/>
      <c r="H28" s="729"/>
      <c r="I28" s="728"/>
      <c r="J28" s="729"/>
      <c r="K28" s="728"/>
      <c r="L28" s="729"/>
      <c r="M28" s="728"/>
      <c r="N28" s="730"/>
      <c r="O28" s="728"/>
      <c r="P28" s="729"/>
      <c r="Q28" s="728"/>
      <c r="R28" s="729"/>
      <c r="S28" s="728"/>
      <c r="T28" s="728"/>
      <c r="U28" s="728"/>
      <c r="V28" s="728"/>
      <c r="W28" s="728"/>
      <c r="X28" s="728"/>
    </row>
    <row r="29" spans="2:37" s="39" customFormat="1" ht="13.2">
      <c r="B29" s="1174" t="str">
        <f>'2)Sources &amp; Uses'!D12</f>
        <v>Louisville Metro Development Subsidy</v>
      </c>
      <c r="C29" s="726"/>
      <c r="D29" s="727"/>
      <c r="E29" s="731" t="str">
        <f>IF('2)Sources &amp; Uses'!L12=0,'2)Sources &amp; Uses'!K12,'2)Sources &amp; Uses'!L12)</f>
        <v/>
      </c>
      <c r="F29" s="731" t="str">
        <f t="shared" ref="F29:F31" si="16">E29</f>
        <v/>
      </c>
      <c r="G29" s="731" t="str">
        <f t="shared" ref="G29:G33" si="17">F29</f>
        <v/>
      </c>
      <c r="H29" s="731" t="str">
        <f t="shared" ref="H29:H33" si="18">G29</f>
        <v/>
      </c>
      <c r="I29" s="731" t="str">
        <f t="shared" ref="I29:I33" si="19">H29</f>
        <v/>
      </c>
      <c r="J29" s="731" t="str">
        <f t="shared" ref="J29:J33" si="20">I29</f>
        <v/>
      </c>
      <c r="K29" s="731" t="str">
        <f t="shared" ref="K29:K33" si="21">J29</f>
        <v/>
      </c>
      <c r="L29" s="731" t="str">
        <f t="shared" ref="L29:L33" si="22">K29</f>
        <v/>
      </c>
      <c r="M29" s="731" t="str">
        <f t="shared" ref="M29:M33" si="23">L29</f>
        <v/>
      </c>
      <c r="N29" s="731" t="str">
        <f t="shared" ref="N29:N33" si="24">M29</f>
        <v/>
      </c>
      <c r="O29" s="731" t="str">
        <f t="shared" ref="O29:O33" si="25">N29</f>
        <v/>
      </c>
      <c r="P29" s="731" t="str">
        <f t="shared" ref="P29:P33" si="26">O29</f>
        <v/>
      </c>
      <c r="Q29" s="731" t="str">
        <f t="shared" ref="Q29:Q33" si="27">P29</f>
        <v/>
      </c>
      <c r="R29" s="731" t="str">
        <f t="shared" ref="R29:R33" si="28">Q29</f>
        <v/>
      </c>
      <c r="S29" s="731" t="str">
        <f t="shared" ref="S29:S33" si="29">R29</f>
        <v/>
      </c>
      <c r="T29" s="731" t="str">
        <f t="shared" ref="T29:T33" si="30">S29</f>
        <v/>
      </c>
      <c r="U29" s="731" t="str">
        <f t="shared" ref="U29:U33" si="31">T29</f>
        <v/>
      </c>
      <c r="V29" s="731" t="str">
        <f t="shared" ref="V29:V33" si="32">U29</f>
        <v/>
      </c>
      <c r="W29" s="731" t="str">
        <f t="shared" ref="W29:W33" si="33">V29</f>
        <v/>
      </c>
      <c r="X29" s="731" t="str">
        <f t="shared" ref="X29:X33" si="34">W29</f>
        <v/>
      </c>
    </row>
    <row r="30" spans="2:37" s="39" customFormat="1" ht="13.2">
      <c r="B30" s="700" t="str">
        <f>'2)Sources &amp; Uses'!D13</f>
        <v>Bank Permanent Loan</v>
      </c>
      <c r="C30" s="726"/>
      <c r="D30" s="727"/>
      <c r="E30" s="731" t="str">
        <f>IF('2)Sources &amp; Uses'!L13=0,'2)Sources &amp; Uses'!K13,'2)Sources &amp; Uses'!L13)</f>
        <v/>
      </c>
      <c r="F30" s="731" t="str">
        <f t="shared" si="16"/>
        <v/>
      </c>
      <c r="G30" s="731" t="str">
        <f t="shared" si="17"/>
        <v/>
      </c>
      <c r="H30" s="731" t="str">
        <f t="shared" si="18"/>
        <v/>
      </c>
      <c r="I30" s="731" t="str">
        <f t="shared" si="19"/>
        <v/>
      </c>
      <c r="J30" s="731" t="str">
        <f t="shared" si="20"/>
        <v/>
      </c>
      <c r="K30" s="731" t="str">
        <f t="shared" si="21"/>
        <v/>
      </c>
      <c r="L30" s="731" t="str">
        <f t="shared" si="22"/>
        <v/>
      </c>
      <c r="M30" s="731" t="str">
        <f t="shared" si="23"/>
        <v/>
      </c>
      <c r="N30" s="731" t="str">
        <f t="shared" si="24"/>
        <v/>
      </c>
      <c r="O30" s="731" t="str">
        <f t="shared" si="25"/>
        <v/>
      </c>
      <c r="P30" s="731" t="str">
        <f t="shared" si="26"/>
        <v/>
      </c>
      <c r="Q30" s="731" t="str">
        <f t="shared" si="27"/>
        <v/>
      </c>
      <c r="R30" s="731" t="str">
        <f t="shared" si="28"/>
        <v/>
      </c>
      <c r="S30" s="731" t="str">
        <f t="shared" si="29"/>
        <v/>
      </c>
      <c r="T30" s="731" t="str">
        <f t="shared" si="30"/>
        <v/>
      </c>
      <c r="U30" s="731" t="str">
        <f t="shared" si="31"/>
        <v/>
      </c>
      <c r="V30" s="731" t="str">
        <f t="shared" si="32"/>
        <v/>
      </c>
      <c r="W30" s="731" t="str">
        <f t="shared" si="33"/>
        <v/>
      </c>
      <c r="X30" s="731" t="str">
        <f t="shared" si="34"/>
        <v/>
      </c>
    </row>
    <row r="31" spans="2:37" s="39" customFormat="1" ht="13.2">
      <c r="B31" s="700" t="str">
        <f>'2)Sources &amp; Uses'!D14</f>
        <v>Louisville Affordable Housing Trust Fund (LAHTF)</v>
      </c>
      <c r="C31" s="726"/>
      <c r="D31" s="727"/>
      <c r="E31" s="731" t="str">
        <f>IF('2)Sources &amp; Uses'!L14=0,'2)Sources &amp; Uses'!K14,'2)Sources &amp; Uses'!L14)</f>
        <v/>
      </c>
      <c r="F31" s="731" t="str">
        <f t="shared" si="16"/>
        <v/>
      </c>
      <c r="G31" s="731" t="str">
        <f t="shared" si="17"/>
        <v/>
      </c>
      <c r="H31" s="731" t="str">
        <f t="shared" si="18"/>
        <v/>
      </c>
      <c r="I31" s="731" t="str">
        <f t="shared" si="19"/>
        <v/>
      </c>
      <c r="J31" s="731" t="str">
        <f t="shared" si="20"/>
        <v/>
      </c>
      <c r="K31" s="731" t="str">
        <f t="shared" si="21"/>
        <v/>
      </c>
      <c r="L31" s="731" t="str">
        <f t="shared" si="22"/>
        <v/>
      </c>
      <c r="M31" s="731" t="str">
        <f t="shared" si="23"/>
        <v/>
      </c>
      <c r="N31" s="731" t="str">
        <f t="shared" si="24"/>
        <v/>
      </c>
      <c r="O31" s="731" t="str">
        <f t="shared" si="25"/>
        <v/>
      </c>
      <c r="P31" s="731" t="str">
        <f t="shared" si="26"/>
        <v/>
      </c>
      <c r="Q31" s="731" t="str">
        <f t="shared" si="27"/>
        <v/>
      </c>
      <c r="R31" s="731" t="str">
        <f t="shared" si="28"/>
        <v/>
      </c>
      <c r="S31" s="731" t="str">
        <f t="shared" si="29"/>
        <v/>
      </c>
      <c r="T31" s="731" t="str">
        <f t="shared" si="30"/>
        <v/>
      </c>
      <c r="U31" s="731" t="str">
        <f t="shared" si="31"/>
        <v/>
      </c>
      <c r="V31" s="731" t="str">
        <f t="shared" si="32"/>
        <v/>
      </c>
      <c r="W31" s="731" t="str">
        <f t="shared" si="33"/>
        <v/>
      </c>
      <c r="X31" s="731" t="str">
        <f t="shared" si="34"/>
        <v/>
      </c>
    </row>
    <row r="32" spans="2:37" s="63" customFormat="1" ht="13.2">
      <c r="B32" s="700" t="str">
        <f>'2)Sources &amp; Uses'!D15</f>
        <v>KHC HOME</v>
      </c>
      <c r="C32" s="709"/>
      <c r="D32" s="710"/>
      <c r="E32" s="731" t="str">
        <f>IF('2)Sources &amp; Uses'!L15=0,'2)Sources &amp; Uses'!K15,'2)Sources &amp; Uses'!L15)</f>
        <v/>
      </c>
      <c r="F32" s="731" t="str">
        <f t="shared" ref="F32:F36" si="35">E32</f>
        <v/>
      </c>
      <c r="G32" s="731" t="str">
        <f t="shared" si="17"/>
        <v/>
      </c>
      <c r="H32" s="731" t="str">
        <f t="shared" si="18"/>
        <v/>
      </c>
      <c r="I32" s="731" t="str">
        <f t="shared" si="19"/>
        <v/>
      </c>
      <c r="J32" s="731" t="str">
        <f t="shared" si="20"/>
        <v/>
      </c>
      <c r="K32" s="731" t="str">
        <f t="shared" si="21"/>
        <v/>
      </c>
      <c r="L32" s="731" t="str">
        <f t="shared" si="22"/>
        <v/>
      </c>
      <c r="M32" s="731" t="str">
        <f t="shared" si="23"/>
        <v/>
      </c>
      <c r="N32" s="731" t="str">
        <f t="shared" si="24"/>
        <v/>
      </c>
      <c r="O32" s="731" t="str">
        <f t="shared" si="25"/>
        <v/>
      </c>
      <c r="P32" s="731" t="str">
        <f t="shared" si="26"/>
        <v/>
      </c>
      <c r="Q32" s="731" t="str">
        <f t="shared" si="27"/>
        <v/>
      </c>
      <c r="R32" s="731" t="str">
        <f t="shared" si="28"/>
        <v/>
      </c>
      <c r="S32" s="731" t="str">
        <f t="shared" si="29"/>
        <v/>
      </c>
      <c r="T32" s="731" t="str">
        <f t="shared" si="30"/>
        <v/>
      </c>
      <c r="U32" s="731" t="str">
        <f t="shared" si="31"/>
        <v/>
      </c>
      <c r="V32" s="731" t="str">
        <f t="shared" si="32"/>
        <v/>
      </c>
      <c r="W32" s="731" t="str">
        <f t="shared" si="33"/>
        <v/>
      </c>
      <c r="X32" s="731" t="str">
        <f t="shared" si="34"/>
        <v/>
      </c>
      <c r="Y32" s="732"/>
      <c r="AC32" s="732"/>
      <c r="AD32" s="732"/>
      <c r="AE32" s="732"/>
      <c r="AF32" s="732"/>
      <c r="AG32" s="732"/>
      <c r="AH32" s="732"/>
      <c r="AI32" s="732"/>
      <c r="AJ32" s="732"/>
      <c r="AK32" s="733"/>
    </row>
    <row r="33" spans="2:37" s="63" customFormat="1" ht="13.2">
      <c r="B33" s="700" t="str">
        <f>'2)Sources &amp; Uses'!D16</f>
        <v>Other KHC Funding (AHTF, SMAL, Risk Sharing)</v>
      </c>
      <c r="C33" s="709"/>
      <c r="D33" s="710"/>
      <c r="E33" s="731" t="str">
        <f>IF('2)Sources &amp; Uses'!L16=0,'2)Sources &amp; Uses'!K16,'2)Sources &amp; Uses'!L16)</f>
        <v/>
      </c>
      <c r="F33" s="731" t="str">
        <f t="shared" si="35"/>
        <v/>
      </c>
      <c r="G33" s="731" t="str">
        <f t="shared" si="17"/>
        <v/>
      </c>
      <c r="H33" s="731" t="str">
        <f t="shared" si="18"/>
        <v/>
      </c>
      <c r="I33" s="731" t="str">
        <f t="shared" si="19"/>
        <v/>
      </c>
      <c r="J33" s="731" t="str">
        <f t="shared" si="20"/>
        <v/>
      </c>
      <c r="K33" s="731" t="str">
        <f t="shared" si="21"/>
        <v/>
      </c>
      <c r="L33" s="731" t="str">
        <f t="shared" si="22"/>
        <v/>
      </c>
      <c r="M33" s="731" t="str">
        <f t="shared" si="23"/>
        <v/>
      </c>
      <c r="N33" s="731" t="str">
        <f t="shared" si="24"/>
        <v/>
      </c>
      <c r="O33" s="731" t="str">
        <f t="shared" si="25"/>
        <v/>
      </c>
      <c r="P33" s="731" t="str">
        <f t="shared" si="26"/>
        <v/>
      </c>
      <c r="Q33" s="731" t="str">
        <f t="shared" si="27"/>
        <v/>
      </c>
      <c r="R33" s="731" t="str">
        <f t="shared" si="28"/>
        <v/>
      </c>
      <c r="S33" s="731" t="str">
        <f t="shared" si="29"/>
        <v/>
      </c>
      <c r="T33" s="731" t="str">
        <f t="shared" si="30"/>
        <v/>
      </c>
      <c r="U33" s="731" t="str">
        <f t="shared" si="31"/>
        <v/>
      </c>
      <c r="V33" s="731" t="str">
        <f t="shared" si="32"/>
        <v/>
      </c>
      <c r="W33" s="731" t="str">
        <f t="shared" si="33"/>
        <v/>
      </c>
      <c r="X33" s="731" t="str">
        <f t="shared" si="34"/>
        <v/>
      </c>
      <c r="Y33" s="732"/>
      <c r="AC33" s="732"/>
      <c r="AD33" s="732"/>
      <c r="AE33" s="732"/>
      <c r="AF33" s="732"/>
      <c r="AG33" s="732"/>
      <c r="AH33" s="732"/>
      <c r="AI33" s="732"/>
      <c r="AJ33" s="732"/>
      <c r="AK33" s="733"/>
    </row>
    <row r="34" spans="2:37" s="63" customFormat="1" ht="13.2">
      <c r="B34" s="700">
        <f>'2)Sources &amp; Uses'!D17</f>
        <v>0</v>
      </c>
      <c r="C34" s="709"/>
      <c r="D34" s="710"/>
      <c r="E34" s="731" t="str">
        <f>IF('2)Sources &amp; Uses'!L17=0,'2)Sources &amp; Uses'!K17,'2)Sources &amp; Uses'!L17)</f>
        <v/>
      </c>
      <c r="F34" s="731" t="str">
        <f t="shared" si="35"/>
        <v/>
      </c>
      <c r="G34" s="731" t="str">
        <f t="shared" ref="G34:X36" si="36">F34</f>
        <v/>
      </c>
      <c r="H34" s="731" t="str">
        <f t="shared" si="36"/>
        <v/>
      </c>
      <c r="I34" s="731" t="str">
        <f t="shared" si="36"/>
        <v/>
      </c>
      <c r="J34" s="731" t="str">
        <f t="shared" si="36"/>
        <v/>
      </c>
      <c r="K34" s="731" t="str">
        <f t="shared" si="36"/>
        <v/>
      </c>
      <c r="L34" s="731" t="str">
        <f t="shared" si="36"/>
        <v/>
      </c>
      <c r="M34" s="731" t="str">
        <f t="shared" si="36"/>
        <v/>
      </c>
      <c r="N34" s="731" t="str">
        <f t="shared" si="36"/>
        <v/>
      </c>
      <c r="O34" s="731" t="str">
        <f t="shared" si="36"/>
        <v/>
      </c>
      <c r="P34" s="731" t="str">
        <f t="shared" si="36"/>
        <v/>
      </c>
      <c r="Q34" s="731" t="str">
        <f t="shared" si="36"/>
        <v/>
      </c>
      <c r="R34" s="731" t="str">
        <f t="shared" si="36"/>
        <v/>
      </c>
      <c r="S34" s="731" t="str">
        <f t="shared" si="36"/>
        <v/>
      </c>
      <c r="T34" s="731" t="str">
        <f t="shared" si="36"/>
        <v/>
      </c>
      <c r="U34" s="731" t="str">
        <f t="shared" si="36"/>
        <v/>
      </c>
      <c r="V34" s="731" t="str">
        <f t="shared" si="36"/>
        <v/>
      </c>
      <c r="W34" s="731" t="str">
        <f t="shared" si="36"/>
        <v/>
      </c>
      <c r="X34" s="731" t="str">
        <f t="shared" si="36"/>
        <v/>
      </c>
      <c r="Y34" s="732"/>
      <c r="Z34" s="732"/>
      <c r="AA34" s="732"/>
      <c r="AB34" s="732"/>
      <c r="AC34" s="732"/>
      <c r="AD34" s="732"/>
      <c r="AE34" s="732"/>
      <c r="AF34" s="732"/>
      <c r="AG34" s="732"/>
      <c r="AH34" s="732"/>
      <c r="AI34" s="732"/>
      <c r="AJ34" s="732"/>
      <c r="AK34" s="733"/>
    </row>
    <row r="35" spans="2:37" s="63" customFormat="1" ht="13.2">
      <c r="B35" s="700">
        <f>'2)Sources &amp; Uses'!D18</f>
        <v>0</v>
      </c>
      <c r="C35" s="709"/>
      <c r="D35" s="710"/>
      <c r="E35" s="731" t="str">
        <f>IF('2)Sources &amp; Uses'!L18=0,'2)Sources &amp; Uses'!K18,'2)Sources &amp; Uses'!L18)</f>
        <v/>
      </c>
      <c r="F35" s="731" t="str">
        <f t="shared" si="35"/>
        <v/>
      </c>
      <c r="G35" s="731" t="str">
        <f t="shared" si="36"/>
        <v/>
      </c>
      <c r="H35" s="731" t="str">
        <f t="shared" si="36"/>
        <v/>
      </c>
      <c r="I35" s="731" t="str">
        <f t="shared" si="36"/>
        <v/>
      </c>
      <c r="J35" s="731" t="str">
        <f t="shared" si="36"/>
        <v/>
      </c>
      <c r="K35" s="731" t="str">
        <f t="shared" si="36"/>
        <v/>
      </c>
      <c r="L35" s="731" t="str">
        <f t="shared" si="36"/>
        <v/>
      </c>
      <c r="M35" s="731" t="str">
        <f t="shared" si="36"/>
        <v/>
      </c>
      <c r="N35" s="731" t="str">
        <f t="shared" si="36"/>
        <v/>
      </c>
      <c r="O35" s="731" t="str">
        <f t="shared" si="36"/>
        <v/>
      </c>
      <c r="P35" s="731" t="str">
        <f t="shared" si="36"/>
        <v/>
      </c>
      <c r="Q35" s="731" t="str">
        <f t="shared" si="36"/>
        <v/>
      </c>
      <c r="R35" s="731" t="str">
        <f t="shared" si="36"/>
        <v/>
      </c>
      <c r="S35" s="731" t="str">
        <f t="shared" si="36"/>
        <v/>
      </c>
      <c r="T35" s="731" t="str">
        <f t="shared" si="36"/>
        <v/>
      </c>
      <c r="U35" s="731" t="str">
        <f t="shared" si="36"/>
        <v/>
      </c>
      <c r="V35" s="731" t="str">
        <f t="shared" si="36"/>
        <v/>
      </c>
      <c r="W35" s="731" t="str">
        <f t="shared" si="36"/>
        <v/>
      </c>
      <c r="X35" s="731" t="str">
        <f t="shared" si="36"/>
        <v/>
      </c>
      <c r="Y35" s="732"/>
      <c r="Z35" s="732"/>
      <c r="AA35" s="732"/>
      <c r="AB35" s="732"/>
      <c r="AC35" s="732"/>
      <c r="AD35" s="732"/>
      <c r="AE35" s="732"/>
      <c r="AF35" s="732"/>
      <c r="AG35" s="732"/>
      <c r="AH35" s="732"/>
      <c r="AI35" s="732"/>
      <c r="AJ35" s="732"/>
      <c r="AK35" s="733"/>
    </row>
    <row r="36" spans="2:37" s="63" customFormat="1" ht="13.2">
      <c r="B36" s="700">
        <f>'2)Sources &amp; Uses'!D19</f>
        <v>0</v>
      </c>
      <c r="C36" s="709"/>
      <c r="D36" s="710"/>
      <c r="E36" s="731" t="str">
        <f>IF('2)Sources &amp; Uses'!L19=0,'2)Sources &amp; Uses'!K19,'2)Sources &amp; Uses'!L19)</f>
        <v/>
      </c>
      <c r="F36" s="731" t="str">
        <f t="shared" si="35"/>
        <v/>
      </c>
      <c r="G36" s="731" t="str">
        <f t="shared" si="36"/>
        <v/>
      </c>
      <c r="H36" s="731" t="str">
        <f t="shared" si="36"/>
        <v/>
      </c>
      <c r="I36" s="731" t="str">
        <f t="shared" si="36"/>
        <v/>
      </c>
      <c r="J36" s="731" t="str">
        <f t="shared" si="36"/>
        <v/>
      </c>
      <c r="K36" s="731" t="str">
        <f t="shared" si="36"/>
        <v/>
      </c>
      <c r="L36" s="731" t="str">
        <f t="shared" si="36"/>
        <v/>
      </c>
      <c r="M36" s="731" t="str">
        <f t="shared" si="36"/>
        <v/>
      </c>
      <c r="N36" s="731" t="str">
        <f t="shared" si="36"/>
        <v/>
      </c>
      <c r="O36" s="731" t="str">
        <f t="shared" si="36"/>
        <v/>
      </c>
      <c r="P36" s="731" t="str">
        <f t="shared" si="36"/>
        <v/>
      </c>
      <c r="Q36" s="731" t="str">
        <f t="shared" si="36"/>
        <v/>
      </c>
      <c r="R36" s="731" t="str">
        <f t="shared" si="36"/>
        <v/>
      </c>
      <c r="S36" s="731" t="str">
        <f t="shared" si="36"/>
        <v/>
      </c>
      <c r="T36" s="731" t="str">
        <f t="shared" si="36"/>
        <v/>
      </c>
      <c r="U36" s="731" t="str">
        <f t="shared" si="36"/>
        <v/>
      </c>
      <c r="V36" s="731" t="str">
        <f t="shared" si="36"/>
        <v/>
      </c>
      <c r="W36" s="731" t="str">
        <f t="shared" si="36"/>
        <v/>
      </c>
      <c r="X36" s="731" t="str">
        <f t="shared" si="36"/>
        <v/>
      </c>
      <c r="Y36" s="732"/>
      <c r="Z36" s="732"/>
      <c r="AA36" s="732"/>
      <c r="AB36" s="732"/>
      <c r="AC36" s="732"/>
      <c r="AD36" s="732"/>
      <c r="AE36" s="732"/>
      <c r="AF36" s="732"/>
      <c r="AG36" s="732"/>
      <c r="AH36" s="732"/>
      <c r="AI36" s="732"/>
      <c r="AJ36" s="732"/>
      <c r="AK36" s="733"/>
    </row>
    <row r="37" spans="2:37" s="63" customFormat="1" ht="13.2" hidden="1">
      <c r="B37" s="700" t="s">
        <v>255</v>
      </c>
      <c r="D37" s="710"/>
      <c r="E37" s="702"/>
      <c r="F37" s="703"/>
      <c r="G37" s="702"/>
      <c r="H37" s="703"/>
      <c r="I37" s="702"/>
      <c r="J37" s="703"/>
      <c r="K37" s="702"/>
      <c r="L37" s="703"/>
      <c r="M37" s="702"/>
      <c r="N37" s="702"/>
      <c r="O37" s="734"/>
      <c r="P37" s="703"/>
      <c r="Q37" s="702"/>
      <c r="R37" s="703"/>
      <c r="S37" s="702"/>
      <c r="T37" s="702"/>
      <c r="U37" s="702"/>
      <c r="V37" s="702"/>
      <c r="W37" s="735"/>
      <c r="X37" s="702"/>
      <c r="Y37" s="732"/>
      <c r="Z37" s="732"/>
      <c r="AA37" s="732"/>
      <c r="AB37" s="732"/>
      <c r="AC37" s="732"/>
      <c r="AD37" s="732"/>
      <c r="AE37" s="732"/>
      <c r="AF37" s="732"/>
      <c r="AG37" s="732"/>
      <c r="AH37" s="732"/>
      <c r="AI37" s="732"/>
      <c r="AJ37" s="732"/>
      <c r="AK37" s="733"/>
    </row>
    <row r="38" spans="2:37" s="341" customFormat="1" ht="13.2">
      <c r="B38" s="711" t="s">
        <v>239</v>
      </c>
      <c r="C38" s="712"/>
      <c r="D38" s="736"/>
      <c r="E38" s="737">
        <f t="shared" ref="E38:X38" si="37">SUM(E32:E37)</f>
        <v>0</v>
      </c>
      <c r="F38" s="737">
        <f t="shared" si="37"/>
        <v>0</v>
      </c>
      <c r="G38" s="737">
        <f t="shared" si="37"/>
        <v>0</v>
      </c>
      <c r="H38" s="737">
        <f t="shared" si="37"/>
        <v>0</v>
      </c>
      <c r="I38" s="737">
        <f t="shared" si="37"/>
        <v>0</v>
      </c>
      <c r="J38" s="737">
        <f t="shared" si="37"/>
        <v>0</v>
      </c>
      <c r="K38" s="737">
        <f t="shared" si="37"/>
        <v>0</v>
      </c>
      <c r="L38" s="737">
        <f t="shared" si="37"/>
        <v>0</v>
      </c>
      <c r="M38" s="737">
        <f t="shared" si="37"/>
        <v>0</v>
      </c>
      <c r="N38" s="737">
        <f t="shared" si="37"/>
        <v>0</v>
      </c>
      <c r="O38" s="737">
        <f t="shared" si="37"/>
        <v>0</v>
      </c>
      <c r="P38" s="737">
        <f t="shared" si="37"/>
        <v>0</v>
      </c>
      <c r="Q38" s="737">
        <f t="shared" si="37"/>
        <v>0</v>
      </c>
      <c r="R38" s="737">
        <f t="shared" si="37"/>
        <v>0</v>
      </c>
      <c r="S38" s="737">
        <f t="shared" si="37"/>
        <v>0</v>
      </c>
      <c r="T38" s="737">
        <f t="shared" si="37"/>
        <v>0</v>
      </c>
      <c r="U38" s="737">
        <f t="shared" si="37"/>
        <v>0</v>
      </c>
      <c r="V38" s="737">
        <f t="shared" si="37"/>
        <v>0</v>
      </c>
      <c r="W38" s="738">
        <f t="shared" si="37"/>
        <v>0</v>
      </c>
      <c r="X38" s="737">
        <f t="shared" si="37"/>
        <v>0</v>
      </c>
    </row>
    <row r="39" spans="2:37" s="739" customFormat="1" ht="13.2">
      <c r="B39" s="739" t="s">
        <v>2</v>
      </c>
      <c r="E39" s="740" t="str">
        <f t="shared" ref="E39:X39" si="38">IF(E38=0,"n/a",E25/E38)</f>
        <v>n/a</v>
      </c>
      <c r="F39" s="739" t="str">
        <f t="shared" si="38"/>
        <v>n/a</v>
      </c>
      <c r="G39" s="740" t="str">
        <f t="shared" si="38"/>
        <v>n/a</v>
      </c>
      <c r="H39" s="739" t="str">
        <f t="shared" si="38"/>
        <v>n/a</v>
      </c>
      <c r="I39" s="740" t="str">
        <f t="shared" si="38"/>
        <v>n/a</v>
      </c>
      <c r="J39" s="739" t="str">
        <f t="shared" si="38"/>
        <v>n/a</v>
      </c>
      <c r="K39" s="740" t="str">
        <f t="shared" si="38"/>
        <v>n/a</v>
      </c>
      <c r="L39" s="739" t="str">
        <f t="shared" si="38"/>
        <v>n/a</v>
      </c>
      <c r="M39" s="740" t="str">
        <f t="shared" si="38"/>
        <v>n/a</v>
      </c>
      <c r="N39" s="740" t="str">
        <f t="shared" si="38"/>
        <v>n/a</v>
      </c>
      <c r="O39" s="740" t="str">
        <f t="shared" si="38"/>
        <v>n/a</v>
      </c>
      <c r="P39" s="739" t="str">
        <f t="shared" si="38"/>
        <v>n/a</v>
      </c>
      <c r="Q39" s="740" t="str">
        <f t="shared" si="38"/>
        <v>n/a</v>
      </c>
      <c r="R39" s="739" t="str">
        <f t="shared" si="38"/>
        <v>n/a</v>
      </c>
      <c r="S39" s="740" t="str">
        <f t="shared" si="38"/>
        <v>n/a</v>
      </c>
      <c r="T39" s="740" t="str">
        <f t="shared" si="38"/>
        <v>n/a</v>
      </c>
      <c r="U39" s="740" t="str">
        <f t="shared" si="38"/>
        <v>n/a</v>
      </c>
      <c r="V39" s="740" t="str">
        <f t="shared" si="38"/>
        <v>n/a</v>
      </c>
      <c r="W39" s="740" t="str">
        <f t="shared" si="38"/>
        <v>n/a</v>
      </c>
      <c r="X39" s="740" t="str">
        <f t="shared" si="38"/>
        <v>n/a</v>
      </c>
    </row>
    <row r="40" spans="2:37" s="63" customFormat="1" ht="13.2">
      <c r="B40" s="741"/>
      <c r="C40" s="742"/>
      <c r="D40" s="710"/>
      <c r="E40" s="702"/>
      <c r="F40" s="703"/>
      <c r="G40" s="702"/>
      <c r="H40" s="703"/>
      <c r="I40" s="702"/>
      <c r="J40" s="703"/>
      <c r="K40" s="702"/>
      <c r="L40" s="703"/>
      <c r="M40" s="702"/>
      <c r="N40" s="702"/>
      <c r="O40" s="702"/>
      <c r="P40" s="703"/>
      <c r="Q40" s="702"/>
      <c r="R40" s="703"/>
      <c r="S40" s="702"/>
      <c r="T40" s="702"/>
      <c r="U40" s="702"/>
      <c r="V40" s="702"/>
      <c r="W40" s="702"/>
      <c r="X40" s="702"/>
      <c r="AK40" s="725"/>
    </row>
    <row r="41" spans="2:37" s="341" customFormat="1" ht="13.8">
      <c r="B41" s="764" t="s">
        <v>246</v>
      </c>
      <c r="C41" s="712"/>
      <c r="D41" s="743"/>
      <c r="E41" s="737">
        <f t="shared" ref="E41:X41" si="39">E25-E38</f>
        <v>0</v>
      </c>
      <c r="F41" s="744">
        <f t="shared" si="39"/>
        <v>0</v>
      </c>
      <c r="G41" s="737">
        <f t="shared" si="39"/>
        <v>0</v>
      </c>
      <c r="H41" s="744">
        <f t="shared" si="39"/>
        <v>0</v>
      </c>
      <c r="I41" s="737">
        <f t="shared" si="39"/>
        <v>0</v>
      </c>
      <c r="J41" s="744">
        <f t="shared" si="39"/>
        <v>0</v>
      </c>
      <c r="K41" s="737">
        <f t="shared" si="39"/>
        <v>0</v>
      </c>
      <c r="L41" s="744">
        <f t="shared" si="39"/>
        <v>0</v>
      </c>
      <c r="M41" s="737">
        <f t="shared" si="39"/>
        <v>0</v>
      </c>
      <c r="N41" s="737">
        <f t="shared" si="39"/>
        <v>0</v>
      </c>
      <c r="O41" s="737">
        <f t="shared" si="39"/>
        <v>0</v>
      </c>
      <c r="P41" s="744">
        <f t="shared" si="39"/>
        <v>0</v>
      </c>
      <c r="Q41" s="737">
        <f t="shared" si="39"/>
        <v>0</v>
      </c>
      <c r="R41" s="744">
        <f t="shared" si="39"/>
        <v>0</v>
      </c>
      <c r="S41" s="737">
        <f t="shared" si="39"/>
        <v>0</v>
      </c>
      <c r="T41" s="737">
        <f t="shared" si="39"/>
        <v>0</v>
      </c>
      <c r="U41" s="737">
        <f t="shared" si="39"/>
        <v>0</v>
      </c>
      <c r="V41" s="737">
        <f t="shared" si="39"/>
        <v>0</v>
      </c>
      <c r="W41" s="737">
        <f t="shared" si="39"/>
        <v>0</v>
      </c>
      <c r="X41" s="737">
        <f t="shared" si="39"/>
        <v>0</v>
      </c>
    </row>
    <row r="42" spans="2:37" s="187" customFormat="1" ht="13.2">
      <c r="B42" s="716" t="s">
        <v>161</v>
      </c>
      <c r="C42" s="717"/>
      <c r="D42" s="716"/>
      <c r="E42" s="718" t="str">
        <f t="shared" ref="E42:X42" si="40">IFERROR(E41/Units,"-")</f>
        <v>-</v>
      </c>
      <c r="F42" s="718" t="str">
        <f t="shared" si="40"/>
        <v>-</v>
      </c>
      <c r="G42" s="718" t="str">
        <f t="shared" si="40"/>
        <v>-</v>
      </c>
      <c r="H42" s="718" t="str">
        <f t="shared" si="40"/>
        <v>-</v>
      </c>
      <c r="I42" s="718" t="str">
        <f t="shared" si="40"/>
        <v>-</v>
      </c>
      <c r="J42" s="718" t="str">
        <f t="shared" si="40"/>
        <v>-</v>
      </c>
      <c r="K42" s="718" t="str">
        <f t="shared" si="40"/>
        <v>-</v>
      </c>
      <c r="L42" s="718" t="str">
        <f t="shared" si="40"/>
        <v>-</v>
      </c>
      <c r="M42" s="718" t="str">
        <f t="shared" si="40"/>
        <v>-</v>
      </c>
      <c r="N42" s="718" t="str">
        <f t="shared" si="40"/>
        <v>-</v>
      </c>
      <c r="O42" s="718" t="str">
        <f t="shared" si="40"/>
        <v>-</v>
      </c>
      <c r="P42" s="718" t="str">
        <f t="shared" si="40"/>
        <v>-</v>
      </c>
      <c r="Q42" s="718" t="str">
        <f t="shared" si="40"/>
        <v>-</v>
      </c>
      <c r="R42" s="718" t="str">
        <f t="shared" si="40"/>
        <v>-</v>
      </c>
      <c r="S42" s="718" t="str">
        <f t="shared" si="40"/>
        <v>-</v>
      </c>
      <c r="T42" s="718" t="str">
        <f t="shared" si="40"/>
        <v>-</v>
      </c>
      <c r="U42" s="718" t="str">
        <f t="shared" si="40"/>
        <v>-</v>
      </c>
      <c r="V42" s="718" t="str">
        <f t="shared" si="40"/>
        <v>-</v>
      </c>
      <c r="W42" s="718" t="str">
        <f t="shared" si="40"/>
        <v>-</v>
      </c>
      <c r="X42" s="718" t="str">
        <f t="shared" si="40"/>
        <v>-</v>
      </c>
    </row>
    <row r="43" spans="2:37" s="63" customFormat="1" ht="7.5" customHeight="1">
      <c r="B43" s="745"/>
      <c r="C43" s="709"/>
      <c r="D43" s="710"/>
      <c r="E43" s="702"/>
      <c r="F43" s="703"/>
      <c r="G43" s="702"/>
      <c r="H43" s="703"/>
      <c r="I43" s="702"/>
      <c r="J43" s="703"/>
      <c r="K43" s="702"/>
      <c r="L43" s="703"/>
      <c r="M43" s="702"/>
      <c r="N43" s="702"/>
      <c r="O43" s="702"/>
      <c r="P43" s="703"/>
      <c r="Q43" s="702"/>
      <c r="R43" s="703"/>
      <c r="S43" s="702"/>
      <c r="T43" s="702"/>
      <c r="U43" s="702"/>
      <c r="V43" s="702"/>
      <c r="W43" s="702"/>
      <c r="X43" s="702"/>
      <c r="AK43" s="725"/>
    </row>
    <row r="44" spans="2:37" s="63" customFormat="1" ht="20.25" customHeight="1">
      <c r="B44" s="746" t="s">
        <v>247</v>
      </c>
      <c r="C44" s="709"/>
      <c r="D44" s="710"/>
      <c r="E44" s="702"/>
      <c r="F44" s="703"/>
      <c r="G44" s="702"/>
      <c r="H44" s="703"/>
      <c r="I44" s="702"/>
      <c r="J44" s="703"/>
      <c r="K44" s="702"/>
      <c r="L44" s="703"/>
      <c r="M44" s="702"/>
      <c r="N44" s="702"/>
      <c r="O44" s="702"/>
      <c r="P44" s="703"/>
      <c r="Q44" s="702"/>
      <c r="R44" s="703"/>
      <c r="S44" s="702"/>
      <c r="T44" s="702"/>
      <c r="U44" s="702"/>
      <c r="V44" s="702"/>
      <c r="W44" s="702"/>
      <c r="X44" s="702"/>
      <c r="AK44" s="725"/>
    </row>
    <row r="45" spans="2:37" s="63" customFormat="1" ht="26.25" customHeight="1">
      <c r="B45" s="1423" t="s">
        <v>620</v>
      </c>
      <c r="C45" s="1423"/>
      <c r="D45" s="1423"/>
      <c r="E45" s="747"/>
      <c r="F45" s="748"/>
      <c r="G45" s="747"/>
      <c r="H45" s="748"/>
      <c r="I45" s="747"/>
      <c r="J45" s="748"/>
      <c r="K45" s="747"/>
      <c r="L45" s="748"/>
      <c r="M45" s="747"/>
      <c r="N45" s="747"/>
      <c r="O45" s="747"/>
      <c r="P45" s="748"/>
      <c r="Q45" s="747"/>
      <c r="R45" s="748"/>
      <c r="S45" s="747"/>
      <c r="T45" s="747"/>
      <c r="U45" s="747"/>
      <c r="V45" s="747"/>
      <c r="W45" s="747"/>
      <c r="X45" s="747"/>
      <c r="AK45" s="725"/>
    </row>
    <row r="46" spans="2:37" s="63" customFormat="1" ht="19.5" customHeight="1">
      <c r="B46" s="274" t="s">
        <v>465</v>
      </c>
      <c r="C46" s="274"/>
      <c r="D46" s="321"/>
      <c r="E46" s="749"/>
      <c r="F46" s="748"/>
      <c r="G46" s="747"/>
      <c r="H46" s="747"/>
      <c r="I46" s="747"/>
      <c r="J46" s="747"/>
      <c r="K46" s="747"/>
      <c r="L46" s="747"/>
      <c r="M46" s="747"/>
      <c r="N46" s="747"/>
      <c r="O46" s="747"/>
      <c r="P46" s="748"/>
      <c r="Q46" s="747"/>
      <c r="R46" s="748"/>
      <c r="S46" s="747"/>
      <c r="T46" s="747"/>
      <c r="U46" s="747"/>
      <c r="V46" s="747"/>
      <c r="W46" s="747"/>
      <c r="X46" s="747"/>
      <c r="Z46" s="739"/>
      <c r="AA46" s="739"/>
      <c r="AK46" s="725"/>
    </row>
    <row r="47" spans="2:37" s="235" customFormat="1" ht="18" customHeight="1">
      <c r="B47" s="355" t="s">
        <v>449</v>
      </c>
      <c r="C47" s="1421"/>
      <c r="D47" s="1422"/>
      <c r="E47" s="1013">
        <f>E41-SUM(E45:E46)</f>
        <v>0</v>
      </c>
      <c r="F47" s="1013">
        <f t="shared" ref="F47:X47" si="41">F41-SUM(F45:F46)</f>
        <v>0</v>
      </c>
      <c r="G47" s="1013">
        <f t="shared" si="41"/>
        <v>0</v>
      </c>
      <c r="H47" s="1013">
        <f t="shared" si="41"/>
        <v>0</v>
      </c>
      <c r="I47" s="1013">
        <f t="shared" si="41"/>
        <v>0</v>
      </c>
      <c r="J47" s="1013">
        <f t="shared" si="41"/>
        <v>0</v>
      </c>
      <c r="K47" s="1013">
        <f t="shared" si="41"/>
        <v>0</v>
      </c>
      <c r="L47" s="1013">
        <f t="shared" si="41"/>
        <v>0</v>
      </c>
      <c r="M47" s="1013">
        <f t="shared" si="41"/>
        <v>0</v>
      </c>
      <c r="N47" s="1013">
        <f t="shared" si="41"/>
        <v>0</v>
      </c>
      <c r="O47" s="1013">
        <f t="shared" si="41"/>
        <v>0</v>
      </c>
      <c r="P47" s="1013">
        <f t="shared" si="41"/>
        <v>0</v>
      </c>
      <c r="Q47" s="1013">
        <f t="shared" si="41"/>
        <v>0</v>
      </c>
      <c r="R47" s="1013">
        <f t="shared" si="41"/>
        <v>0</v>
      </c>
      <c r="S47" s="1013">
        <f t="shared" si="41"/>
        <v>0</v>
      </c>
      <c r="T47" s="1013">
        <f t="shared" si="41"/>
        <v>0</v>
      </c>
      <c r="U47" s="1013">
        <f t="shared" si="41"/>
        <v>0</v>
      </c>
      <c r="V47" s="1013">
        <f t="shared" si="41"/>
        <v>0</v>
      </c>
      <c r="W47" s="1013">
        <f t="shared" si="41"/>
        <v>0</v>
      </c>
      <c r="X47" s="1013">
        <f t="shared" si="41"/>
        <v>0</v>
      </c>
      <c r="Z47" s="750"/>
      <c r="AA47" s="750"/>
      <c r="AK47" s="236"/>
    </row>
    <row r="48" spans="2:37" s="63" customFormat="1" ht="18" customHeight="1">
      <c r="B48" s="751" t="s">
        <v>248</v>
      </c>
      <c r="C48" s="274"/>
      <c r="D48" s="321"/>
      <c r="E48" s="1015">
        <f>IF(E47&gt;0,MIN(E47,C49),0)</f>
        <v>0</v>
      </c>
      <c r="F48" s="752">
        <f>IF(E49&gt;0,MIN(E49,F47),0)</f>
        <v>0</v>
      </c>
      <c r="G48" s="752">
        <f t="shared" ref="G48:N48" si="42">IF(F49&gt;0,MIN(F49,G47),0)</f>
        <v>0</v>
      </c>
      <c r="H48" s="752">
        <f t="shared" si="42"/>
        <v>0</v>
      </c>
      <c r="I48" s="752">
        <f t="shared" si="42"/>
        <v>0</v>
      </c>
      <c r="J48" s="752">
        <f t="shared" si="42"/>
        <v>0</v>
      </c>
      <c r="K48" s="752">
        <f t="shared" si="42"/>
        <v>0</v>
      </c>
      <c r="L48" s="752">
        <f t="shared" si="42"/>
        <v>0</v>
      </c>
      <c r="M48" s="752">
        <f t="shared" si="42"/>
        <v>0</v>
      </c>
      <c r="N48" s="753">
        <f t="shared" si="42"/>
        <v>0</v>
      </c>
      <c r="O48" s="752">
        <f t="shared" ref="O48:X48" si="43">IF(N49&gt;0,MIN(N49,O47),0)</f>
        <v>0</v>
      </c>
      <c r="P48" s="752">
        <f t="shared" si="43"/>
        <v>0</v>
      </c>
      <c r="Q48" s="752">
        <f t="shared" si="43"/>
        <v>0</v>
      </c>
      <c r="R48" s="752">
        <f t="shared" si="43"/>
        <v>0</v>
      </c>
      <c r="S48" s="752">
        <f t="shared" si="43"/>
        <v>0</v>
      </c>
      <c r="T48" s="752">
        <f t="shared" si="43"/>
        <v>0</v>
      </c>
      <c r="U48" s="752">
        <f t="shared" si="43"/>
        <v>0</v>
      </c>
      <c r="V48" s="752">
        <f t="shared" si="43"/>
        <v>0</v>
      </c>
      <c r="W48" s="752">
        <f t="shared" si="43"/>
        <v>0</v>
      </c>
      <c r="X48" s="752">
        <f t="shared" si="43"/>
        <v>0</v>
      </c>
      <c r="Z48" s="739"/>
      <c r="AA48" s="739"/>
      <c r="AK48" s="725"/>
    </row>
    <row r="49" spans="2:37" s="235" customFormat="1" ht="18" customHeight="1">
      <c r="B49" s="355" t="s">
        <v>467</v>
      </c>
      <c r="C49" s="1421">
        <f>DDF</f>
        <v>0</v>
      </c>
      <c r="D49" s="1422"/>
      <c r="E49" s="234">
        <f>C49-E48</f>
        <v>0</v>
      </c>
      <c r="F49" s="234">
        <f t="shared" ref="F49:N49" si="44">E49-F48</f>
        <v>0</v>
      </c>
      <c r="G49" s="234">
        <f t="shared" si="44"/>
        <v>0</v>
      </c>
      <c r="H49" s="234">
        <f t="shared" si="44"/>
        <v>0</v>
      </c>
      <c r="I49" s="234">
        <f t="shared" si="44"/>
        <v>0</v>
      </c>
      <c r="J49" s="234">
        <f t="shared" si="44"/>
        <v>0</v>
      </c>
      <c r="K49" s="234">
        <f t="shared" si="44"/>
        <v>0</v>
      </c>
      <c r="L49" s="234">
        <f t="shared" si="44"/>
        <v>0</v>
      </c>
      <c r="M49" s="234">
        <f t="shared" si="44"/>
        <v>0</v>
      </c>
      <c r="N49" s="234">
        <f t="shared" si="44"/>
        <v>0</v>
      </c>
      <c r="O49" s="234">
        <f t="shared" ref="O49:X49" si="45">N49-O48</f>
        <v>0</v>
      </c>
      <c r="P49" s="234">
        <f t="shared" si="45"/>
        <v>0</v>
      </c>
      <c r="Q49" s="234">
        <f t="shared" si="45"/>
        <v>0</v>
      </c>
      <c r="R49" s="234">
        <f t="shared" si="45"/>
        <v>0</v>
      </c>
      <c r="S49" s="234">
        <f t="shared" si="45"/>
        <v>0</v>
      </c>
      <c r="T49" s="234">
        <f t="shared" si="45"/>
        <v>0</v>
      </c>
      <c r="U49" s="234">
        <f t="shared" si="45"/>
        <v>0</v>
      </c>
      <c r="V49" s="234">
        <f t="shared" si="45"/>
        <v>0</v>
      </c>
      <c r="W49" s="234">
        <f t="shared" si="45"/>
        <v>0</v>
      </c>
      <c r="X49" s="234">
        <f t="shared" si="45"/>
        <v>0</v>
      </c>
      <c r="Z49" s="739"/>
      <c r="AA49" s="739"/>
      <c r="AK49" s="236"/>
    </row>
    <row r="50" spans="2:37" s="235" customFormat="1" ht="12.75" customHeight="1">
      <c r="B50" s="238"/>
      <c r="C50" s="237"/>
      <c r="D50" s="237"/>
      <c r="E50" s="234"/>
      <c r="F50" s="234"/>
      <c r="G50" s="234"/>
      <c r="H50" s="234"/>
      <c r="I50" s="234"/>
      <c r="J50" s="234"/>
      <c r="K50" s="234"/>
      <c r="L50" s="234"/>
      <c r="M50" s="234"/>
      <c r="N50" s="234"/>
      <c r="O50" s="234"/>
      <c r="P50" s="234"/>
      <c r="Q50" s="234"/>
      <c r="R50" s="234"/>
      <c r="S50" s="234"/>
      <c r="T50" s="234"/>
      <c r="U50" s="234"/>
      <c r="V50" s="234"/>
      <c r="W50" s="234"/>
      <c r="X50" s="234"/>
      <c r="AK50" s="236"/>
    </row>
    <row r="51" spans="2:37" s="63" customFormat="1" ht="13.8">
      <c r="B51" s="764" t="s">
        <v>406</v>
      </c>
      <c r="C51" s="709"/>
      <c r="D51" s="754"/>
      <c r="E51" s="755">
        <f>E47-E48</f>
        <v>0</v>
      </c>
      <c r="F51" s="755">
        <f t="shared" ref="F51:X51" si="46">F47-F48</f>
        <v>0</v>
      </c>
      <c r="G51" s="755">
        <f t="shared" si="46"/>
        <v>0</v>
      </c>
      <c r="H51" s="755">
        <f t="shared" si="46"/>
        <v>0</v>
      </c>
      <c r="I51" s="755">
        <f t="shared" si="46"/>
        <v>0</v>
      </c>
      <c r="J51" s="755">
        <f t="shared" si="46"/>
        <v>0</v>
      </c>
      <c r="K51" s="755">
        <f t="shared" si="46"/>
        <v>0</v>
      </c>
      <c r="L51" s="755">
        <f t="shared" si="46"/>
        <v>0</v>
      </c>
      <c r="M51" s="755">
        <f t="shared" si="46"/>
        <v>0</v>
      </c>
      <c r="N51" s="755">
        <f t="shared" si="46"/>
        <v>0</v>
      </c>
      <c r="O51" s="755">
        <f t="shared" si="46"/>
        <v>0</v>
      </c>
      <c r="P51" s="755">
        <f t="shared" si="46"/>
        <v>0</v>
      </c>
      <c r="Q51" s="755">
        <f t="shared" si="46"/>
        <v>0</v>
      </c>
      <c r="R51" s="755">
        <f t="shared" si="46"/>
        <v>0</v>
      </c>
      <c r="S51" s="755">
        <f t="shared" si="46"/>
        <v>0</v>
      </c>
      <c r="T51" s="755">
        <f t="shared" si="46"/>
        <v>0</v>
      </c>
      <c r="U51" s="755">
        <f t="shared" si="46"/>
        <v>0</v>
      </c>
      <c r="V51" s="755">
        <f t="shared" si="46"/>
        <v>0</v>
      </c>
      <c r="W51" s="755">
        <f t="shared" si="46"/>
        <v>0</v>
      </c>
      <c r="X51" s="755">
        <f t="shared" si="46"/>
        <v>0</v>
      </c>
      <c r="Y51" s="732"/>
      <c r="Z51" s="732"/>
      <c r="AA51" s="732"/>
      <c r="AB51" s="732"/>
      <c r="AC51" s="732"/>
      <c r="AD51" s="732"/>
      <c r="AE51" s="732"/>
      <c r="AF51" s="732"/>
      <c r="AG51" s="732"/>
      <c r="AH51" s="732"/>
      <c r="AI51" s="732"/>
      <c r="AJ51" s="732"/>
      <c r="AK51" s="733"/>
    </row>
    <row r="52" spans="2:37" s="187" customFormat="1" ht="13.2">
      <c r="B52" s="756" t="s">
        <v>161</v>
      </c>
      <c r="C52" s="757"/>
      <c r="D52" s="758"/>
      <c r="E52" s="1014" t="str">
        <f t="shared" ref="E52:X52" si="47">IFERROR(E51/Units,"-")</f>
        <v>-</v>
      </c>
      <c r="F52" s="1014" t="str">
        <f t="shared" si="47"/>
        <v>-</v>
      </c>
      <c r="G52" s="1014" t="str">
        <f t="shared" si="47"/>
        <v>-</v>
      </c>
      <c r="H52" s="1014" t="str">
        <f t="shared" si="47"/>
        <v>-</v>
      </c>
      <c r="I52" s="1014" t="str">
        <f t="shared" si="47"/>
        <v>-</v>
      </c>
      <c r="J52" s="1014" t="str">
        <f t="shared" si="47"/>
        <v>-</v>
      </c>
      <c r="K52" s="1014" t="str">
        <f t="shared" si="47"/>
        <v>-</v>
      </c>
      <c r="L52" s="1014" t="str">
        <f t="shared" si="47"/>
        <v>-</v>
      </c>
      <c r="M52" s="1014" t="str">
        <f t="shared" si="47"/>
        <v>-</v>
      </c>
      <c r="N52" s="1014" t="str">
        <f t="shared" si="47"/>
        <v>-</v>
      </c>
      <c r="O52" s="1014" t="str">
        <f t="shared" si="47"/>
        <v>-</v>
      </c>
      <c r="P52" s="1014" t="str">
        <f t="shared" si="47"/>
        <v>-</v>
      </c>
      <c r="Q52" s="1014" t="str">
        <f t="shared" si="47"/>
        <v>-</v>
      </c>
      <c r="R52" s="1014" t="str">
        <f t="shared" si="47"/>
        <v>-</v>
      </c>
      <c r="S52" s="1014" t="str">
        <f t="shared" si="47"/>
        <v>-</v>
      </c>
      <c r="T52" s="1014" t="str">
        <f t="shared" si="47"/>
        <v>-</v>
      </c>
      <c r="U52" s="1014" t="str">
        <f t="shared" si="47"/>
        <v>-</v>
      </c>
      <c r="V52" s="1014" t="str">
        <f t="shared" si="47"/>
        <v>-</v>
      </c>
      <c r="W52" s="1014" t="str">
        <f t="shared" si="47"/>
        <v>-</v>
      </c>
      <c r="X52" s="1014" t="str">
        <f t="shared" si="47"/>
        <v>-</v>
      </c>
    </row>
    <row r="53" spans="2:37" s="63" customFormat="1" ht="18" customHeight="1">
      <c r="B53" s="274"/>
      <c r="C53" s="274"/>
      <c r="D53" s="689"/>
      <c r="E53" s="759" t="s">
        <v>149</v>
      </c>
      <c r="F53" s="697" t="s">
        <v>149</v>
      </c>
      <c r="G53" s="760" t="s">
        <v>149</v>
      </c>
      <c r="H53" s="697" t="s">
        <v>149</v>
      </c>
      <c r="I53" s="697" t="s">
        <v>149</v>
      </c>
      <c r="J53" s="760" t="s">
        <v>149</v>
      </c>
      <c r="K53" s="697" t="s">
        <v>149</v>
      </c>
      <c r="L53" s="760" t="s">
        <v>149</v>
      </c>
      <c r="M53" s="697" t="s">
        <v>149</v>
      </c>
      <c r="N53" s="697" t="s">
        <v>149</v>
      </c>
      <c r="O53" s="697" t="s">
        <v>149</v>
      </c>
      <c r="P53" s="760" t="s">
        <v>149</v>
      </c>
      <c r="Q53" s="697" t="s">
        <v>149</v>
      </c>
      <c r="R53" s="760" t="s">
        <v>149</v>
      </c>
      <c r="S53" s="697" t="s">
        <v>149</v>
      </c>
      <c r="T53" s="697" t="s">
        <v>149</v>
      </c>
      <c r="U53" s="697" t="s">
        <v>149</v>
      </c>
      <c r="V53" s="697" t="s">
        <v>149</v>
      </c>
      <c r="W53" s="697" t="s">
        <v>149</v>
      </c>
      <c r="X53" s="697" t="s">
        <v>149</v>
      </c>
    </row>
    <row r="54" spans="2:37" s="63" customFormat="1" ht="15" customHeight="1">
      <c r="B54" s="1424" t="s">
        <v>367</v>
      </c>
      <c r="C54" s="1425">
        <f>DDF-(SUM('5)Operating Proforma'!E48:N48))</f>
        <v>0</v>
      </c>
      <c r="D54" s="1425"/>
      <c r="E54" s="761">
        <v>1</v>
      </c>
      <c r="F54" s="693">
        <f>E54+1</f>
        <v>2</v>
      </c>
      <c r="G54" s="695">
        <f t="shared" ref="G54:S54" si="48">F54+1</f>
        <v>3</v>
      </c>
      <c r="H54" s="693">
        <f t="shared" si="48"/>
        <v>4</v>
      </c>
      <c r="I54" s="693">
        <f t="shared" si="48"/>
        <v>5</v>
      </c>
      <c r="J54" s="695">
        <f t="shared" si="48"/>
        <v>6</v>
      </c>
      <c r="K54" s="693">
        <f t="shared" si="48"/>
        <v>7</v>
      </c>
      <c r="L54" s="695">
        <f t="shared" si="48"/>
        <v>8</v>
      </c>
      <c r="M54" s="693">
        <f t="shared" si="48"/>
        <v>9</v>
      </c>
      <c r="N54" s="693">
        <f t="shared" si="48"/>
        <v>10</v>
      </c>
      <c r="O54" s="693">
        <f t="shared" si="48"/>
        <v>11</v>
      </c>
      <c r="P54" s="695">
        <f t="shared" si="48"/>
        <v>12</v>
      </c>
      <c r="Q54" s="693">
        <f t="shared" si="48"/>
        <v>13</v>
      </c>
      <c r="R54" s="695">
        <f t="shared" si="48"/>
        <v>14</v>
      </c>
      <c r="S54" s="693">
        <f t="shared" si="48"/>
        <v>15</v>
      </c>
      <c r="T54" s="693">
        <f>S54+1</f>
        <v>16</v>
      </c>
      <c r="U54" s="693">
        <f>T54+1</f>
        <v>17</v>
      </c>
      <c r="V54" s="693">
        <f>U54+1</f>
        <v>18</v>
      </c>
      <c r="W54" s="693">
        <f>V54+1</f>
        <v>19</v>
      </c>
      <c r="X54" s="693">
        <f>W54+1</f>
        <v>20</v>
      </c>
    </row>
    <row r="55" spans="2:37" s="63" customFormat="1" ht="10.5" customHeight="1">
      <c r="B55" s="1424"/>
      <c r="C55" s="1425"/>
      <c r="D55" s="1425"/>
      <c r="E55" s="760"/>
      <c r="F55" s="698"/>
      <c r="G55" s="698"/>
      <c r="H55" s="698"/>
      <c r="I55" s="698"/>
      <c r="J55" s="698"/>
      <c r="K55" s="698"/>
      <c r="L55" s="698"/>
      <c r="M55" s="698"/>
      <c r="N55" s="698"/>
      <c r="O55" s="698"/>
      <c r="P55" s="698"/>
      <c r="Q55" s="698"/>
      <c r="R55" s="698"/>
      <c r="S55" s="698"/>
      <c r="T55" s="698"/>
      <c r="U55" s="698"/>
      <c r="V55" s="698"/>
      <c r="W55" s="698"/>
      <c r="X55" s="698"/>
    </row>
    <row r="56" spans="2:37" s="63" customFormat="1" ht="21" customHeight="1">
      <c r="B56" s="1424" t="s">
        <v>407</v>
      </c>
      <c r="C56" s="1425">
        <f>'2)Sources &amp; Uses'!F24-(SUM(E46:S46))</f>
        <v>0</v>
      </c>
      <c r="D56" s="1425"/>
      <c r="E56" s="762" t="s">
        <v>466</v>
      </c>
      <c r="I56" s="1415"/>
      <c r="J56" s="1416"/>
      <c r="K56" s="1416"/>
      <c r="L56" s="1416"/>
      <c r="M56" s="1417"/>
      <c r="S56" s="698"/>
      <c r="T56" s="698"/>
      <c r="U56" s="698"/>
      <c r="V56" s="698"/>
      <c r="W56" s="698"/>
      <c r="X56" s="698"/>
    </row>
    <row r="57" spans="2:37" s="63" customFormat="1" ht="13.2">
      <c r="B57" s="1424"/>
      <c r="C57" s="1425"/>
      <c r="D57" s="1425"/>
      <c r="E57" s="763" t="s">
        <v>619</v>
      </c>
      <c r="I57" s="1418"/>
      <c r="J57" s="1419"/>
      <c r="K57" s="1419"/>
      <c r="L57" s="1419"/>
      <c r="M57" s="1420"/>
    </row>
    <row r="58" spans="2:37" s="322" customFormat="1" ht="13.8">
      <c r="E58" s="323"/>
    </row>
    <row r="59" spans="2:37" s="322" customFormat="1" ht="13.8">
      <c r="C59" s="274"/>
      <c r="D59" s="23"/>
    </row>
    <row r="60" spans="2:37" s="322" customFormat="1" ht="13.8">
      <c r="C60" s="274"/>
      <c r="D60" s="23"/>
    </row>
    <row r="61" spans="2:37" s="269" customFormat="1" ht="13.8">
      <c r="B61" s="269" t="s">
        <v>385</v>
      </c>
      <c r="C61" s="295">
        <f>'2)Sources &amp; Uses'!F24</f>
        <v>0</v>
      </c>
    </row>
    <row r="62" spans="2:37" s="322" customFormat="1" ht="13.8"/>
    <row r="63" spans="2:37" s="324" customFormat="1">
      <c r="F63" s="325"/>
    </row>
    <row r="64" spans="2:37" s="324" customFormat="1"/>
    <row r="65" s="324" customFormat="1"/>
    <row r="66" s="324" customFormat="1"/>
    <row r="67" s="324" customFormat="1"/>
    <row r="68" s="324" customFormat="1"/>
    <row r="69" s="324" customFormat="1"/>
    <row r="70" s="324" customFormat="1"/>
    <row r="71" s="324" customFormat="1"/>
    <row r="72" s="192" customFormat="1"/>
    <row r="73" s="192" customFormat="1"/>
    <row r="74" s="192" customFormat="1"/>
    <row r="75" s="192" customFormat="1"/>
    <row r="76" s="192" customFormat="1"/>
    <row r="77" s="192" customFormat="1"/>
    <row r="78" s="192" customFormat="1"/>
    <row r="79" s="192" customFormat="1"/>
    <row r="80" s="192" customFormat="1"/>
    <row r="81" s="192" customFormat="1"/>
    <row r="82" s="192" customFormat="1"/>
    <row r="83" s="192" customFormat="1"/>
    <row r="84" s="192" customFormat="1"/>
    <row r="85" s="192" customFormat="1"/>
  </sheetData>
  <mergeCells count="16">
    <mergeCell ref="T3:X3"/>
    <mergeCell ref="B1:D1"/>
    <mergeCell ref="C5:D5"/>
    <mergeCell ref="C24:D24"/>
    <mergeCell ref="C3:E3"/>
    <mergeCell ref="C23:D23"/>
    <mergeCell ref="C15:D15"/>
    <mergeCell ref="F1:H1"/>
    <mergeCell ref="I56:M57"/>
    <mergeCell ref="C47:D47"/>
    <mergeCell ref="C49:D49"/>
    <mergeCell ref="B45:D45"/>
    <mergeCell ref="B54:B55"/>
    <mergeCell ref="B56:B57"/>
    <mergeCell ref="C54:D55"/>
    <mergeCell ref="C56:D57"/>
  </mergeCells>
  <phoneticPr fontId="0" type="noConversion"/>
  <conditionalFormatting sqref="H2">
    <cfRule type="expression" dxfId="12" priority="2" stopIfTrue="1">
      <formula>$I$2="20 Years"</formula>
    </cfRule>
  </conditionalFormatting>
  <printOptions horizontalCentered="1" verticalCentered="1"/>
  <pageMargins left="0.5" right="0.5" top="0.8" bottom="0.8" header="0.25" footer="0.25"/>
  <pageSetup scale="56" fitToWidth="2" orientation="landscape" r:id="rId1"/>
  <headerFooter alignWithMargins="0">
    <oddFooter>&amp;L&amp;10&amp;F
&amp;A&amp;R&amp;10Louisville Metro Government
Page &amp;P of &amp;N</oddFooter>
  </headerFooter>
  <colBreaks count="1" manualBreakCount="1">
    <brk id="14" max="54" man="1"/>
  </colBreaks>
  <ignoredErrors>
    <ignoredError sqref="C24 D16:D19 F48:X48" unlockedFormula="1"/>
    <ignoredError sqref="H2:I2"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B1:BH97"/>
  <sheetViews>
    <sheetView showGridLines="0" zoomScale="120" zoomScaleNormal="120" workbookViewId="0">
      <selection activeCell="D44" sqref="D44"/>
    </sheetView>
  </sheetViews>
  <sheetFormatPr defaultColWidth="8.90625" defaultRowHeight="15"/>
  <cols>
    <col min="1" max="1" width="1.08984375" customWidth="1"/>
    <col min="2" max="2" width="29.453125" customWidth="1"/>
    <col min="3" max="3" width="16.1796875" customWidth="1"/>
    <col min="4" max="4" width="17.36328125" customWidth="1"/>
    <col min="5" max="5" width="18.6328125" customWidth="1"/>
    <col min="6" max="6" width="31" customWidth="1"/>
    <col min="7" max="7" width="27.6328125" style="766" customWidth="1"/>
    <col min="8" max="8" width="2.81640625" customWidth="1"/>
  </cols>
  <sheetData>
    <row r="1" spans="2:60" ht="17.399999999999999">
      <c r="B1" s="1215" t="str">
        <f ca="1">name</f>
        <v>RENTAL PRODUCTION APPLICATION</v>
      </c>
      <c r="C1" s="1215"/>
      <c r="D1" s="1215"/>
      <c r="E1" s="1215"/>
      <c r="F1" s="195"/>
    </row>
    <row r="2" spans="2:60" s="40" customFormat="1" ht="22.8">
      <c r="B2" s="1246" t="s">
        <v>514</v>
      </c>
      <c r="C2" s="1246"/>
      <c r="D2" s="1246"/>
      <c r="E2" s="1246"/>
      <c r="F2" s="196"/>
      <c r="G2" s="767"/>
      <c r="H2" s="768"/>
      <c r="I2" s="768"/>
      <c r="J2" s="768"/>
      <c r="K2" s="768"/>
      <c r="T2" s="45" t="s">
        <v>187</v>
      </c>
    </row>
    <row r="3" spans="2:60" ht="17.399999999999999">
      <c r="B3" s="1445">
        <f>Project</f>
        <v>0</v>
      </c>
      <c r="C3" s="1445"/>
      <c r="D3" s="1445"/>
      <c r="E3" s="1445"/>
    </row>
    <row r="4" spans="2:60" s="38" customFormat="1" ht="15" hidden="1" customHeight="1">
      <c r="B4" s="300" t="s">
        <v>295</v>
      </c>
      <c r="C4" s="39"/>
      <c r="D4" s="39"/>
      <c r="E4" s="39"/>
      <c r="F4" s="39"/>
      <c r="BC4" s="100"/>
      <c r="BD4" s="100"/>
      <c r="BE4" s="100"/>
      <c r="BF4" s="100"/>
    </row>
    <row r="5" spans="2:60" s="103" customFormat="1" ht="15" hidden="1" customHeight="1">
      <c r="B5" s="349" t="s">
        <v>439</v>
      </c>
      <c r="BC5" s="113"/>
      <c r="BD5" s="113"/>
      <c r="BE5" s="113"/>
      <c r="BF5" s="113"/>
      <c r="BG5" s="113"/>
      <c r="BH5" s="113"/>
    </row>
    <row r="6" spans="2:60" s="39" customFormat="1" ht="15" hidden="1" customHeight="1">
      <c r="B6" s="39" t="s">
        <v>299</v>
      </c>
      <c r="C6" s="104" t="s">
        <v>296</v>
      </c>
      <c r="D6" s="104" t="s">
        <v>298</v>
      </c>
      <c r="BC6" s="37"/>
      <c r="BD6" s="37"/>
      <c r="BE6" s="37"/>
      <c r="BF6" s="37"/>
      <c r="BG6" s="37"/>
      <c r="BH6" s="37"/>
    </row>
    <row r="7" spans="2:60" s="38" customFormat="1" ht="15" hidden="1" customHeight="1">
      <c r="B7" s="108" t="s">
        <v>84</v>
      </c>
      <c r="C7" s="106">
        <f>'3)Income'!D37</f>
        <v>0</v>
      </c>
      <c r="D7" s="105" t="e">
        <f>'3)Income'!E37</f>
        <v>#DIV/0!</v>
      </c>
      <c r="E7" s="583" t="s">
        <v>297</v>
      </c>
      <c r="BC7" s="100"/>
      <c r="BD7" s="100"/>
      <c r="BE7" s="100"/>
      <c r="BF7" s="100"/>
      <c r="BG7" s="100"/>
      <c r="BH7" s="100"/>
    </row>
    <row r="8" spans="2:60" s="38" customFormat="1" ht="15" hidden="1" customHeight="1">
      <c r="B8" s="398" t="s">
        <v>157</v>
      </c>
      <c r="C8" s="399" t="e">
        <f>'3)Income'!#REF!</f>
        <v>#REF!</v>
      </c>
      <c r="D8" s="389" t="e">
        <f>'3)Income'!#REF!</f>
        <v>#REF!</v>
      </c>
      <c r="E8" s="388" t="e">
        <f>'3)Income'!F37</f>
        <v>#DIV/0!</v>
      </c>
      <c r="F8" s="197"/>
      <c r="G8" s="102"/>
      <c r="BC8" s="100"/>
      <c r="BD8" s="100"/>
      <c r="BE8" s="100"/>
      <c r="BF8" s="100"/>
      <c r="BG8" s="100"/>
      <c r="BH8" s="100"/>
    </row>
    <row r="9" spans="2:60" s="38" customFormat="1" hidden="1">
      <c r="B9" s="392" t="s">
        <v>158</v>
      </c>
      <c r="C9" s="400" t="e">
        <f>'3)Income'!#REF!</f>
        <v>#REF!</v>
      </c>
      <c r="D9" s="401" t="e">
        <f>'3)Income'!#REF!</f>
        <v>#REF!</v>
      </c>
      <c r="E9" s="402"/>
      <c r="F9" s="197"/>
      <c r="G9" s="102"/>
      <c r="BC9" s="100"/>
      <c r="BD9" s="100"/>
      <c r="BE9" s="100"/>
      <c r="BF9" s="100"/>
      <c r="BG9" s="100"/>
      <c r="BH9" s="100"/>
    </row>
    <row r="10" spans="2:60" hidden="1"/>
    <row r="11" spans="2:60" s="38" customFormat="1" ht="15.6" hidden="1">
      <c r="B11" s="383" t="s">
        <v>275</v>
      </c>
      <c r="C11" s="384"/>
      <c r="D11" s="385"/>
      <c r="E11" s="386"/>
      <c r="F11" s="386"/>
      <c r="Q11" s="45"/>
    </row>
    <row r="12" spans="2:60" s="74" customFormat="1" hidden="1">
      <c r="B12" s="387" t="s">
        <v>90</v>
      </c>
      <c r="C12" s="388" t="s">
        <v>301</v>
      </c>
      <c r="D12" s="389" t="s">
        <v>90</v>
      </c>
      <c r="E12" s="389" t="s">
        <v>92</v>
      </c>
      <c r="F12" s="386"/>
      <c r="P12" s="769"/>
    </row>
    <row r="13" spans="2:60" s="65" customFormat="1" ht="13.8" hidden="1">
      <c r="B13" s="390" t="s">
        <v>300</v>
      </c>
      <c r="C13" s="770">
        <v>0.05</v>
      </c>
      <c r="D13" s="391">
        <f>C13*SUM('2)Sources &amp; Uses'!F15:F15)</f>
        <v>0</v>
      </c>
      <c r="E13" s="391">
        <f>SUMIF('2)Sources &amp; Uses'!B17:B32,"HOME Match",'2)Sources &amp; Uses'!F12:F32)</f>
        <v>0</v>
      </c>
      <c r="F13" s="771" t="str">
        <f>IF(D13=0,"",IF((E13&gt;=D13),"Sufficient HOME Match","INSUFFICIENT HOME Match"))</f>
        <v/>
      </c>
      <c r="O13" s="772"/>
    </row>
    <row r="14" spans="2:60" s="65" customFormat="1" ht="13.8" hidden="1">
      <c r="B14" s="392" t="s">
        <v>91</v>
      </c>
      <c r="C14" s="773">
        <v>0.05</v>
      </c>
      <c r="D14" s="393">
        <f>C14*SUM('2)Sources &amp; Uses'!F16:F16)</f>
        <v>0</v>
      </c>
      <c r="E14" s="393">
        <f>SUMIF('2)Sources &amp; Uses'!B17:B32,"Other KHC Match",'2)Sources &amp; Uses'!F12:F32)</f>
        <v>0</v>
      </c>
      <c r="F14" s="771" t="str">
        <f>IF('2)Sources &amp; Uses'!F35=0,"",(IF(D14=0,"",(IF((E14&gt;=D14),"Sufficient Other KHC Match",IF(E15&gt;=D15,"Sufficient Other KHC Match","INSUFFICIENT Other KHC match"))))))</f>
        <v/>
      </c>
      <c r="O14" s="772"/>
    </row>
    <row r="15" spans="2:60" s="101" customFormat="1" ht="13.8" hidden="1">
      <c r="B15" s="394" t="s">
        <v>224</v>
      </c>
      <c r="C15" s="395"/>
      <c r="D15" s="396">
        <f>SUM(D13:D14)</f>
        <v>0</v>
      </c>
      <c r="E15" s="396">
        <f>SUM(E13:E14)</f>
        <v>0</v>
      </c>
      <c r="F15" s="397"/>
      <c r="O15" s="774"/>
    </row>
    <row r="16" spans="2:60" s="23" customFormat="1" ht="19.5" hidden="1" customHeight="1">
      <c r="B16" s="403" t="s">
        <v>305</v>
      </c>
      <c r="C16" s="404"/>
      <c r="D16" s="404"/>
      <c r="E16" s="404"/>
      <c r="F16" s="775"/>
    </row>
    <row r="17" spans="2:8" s="23" customFormat="1" ht="25.5" hidden="1" customHeight="1">
      <c r="B17" s="404" t="s">
        <v>73</v>
      </c>
      <c r="C17" s="404" t="s">
        <v>74</v>
      </c>
      <c r="D17" s="776" t="s">
        <v>446</v>
      </c>
      <c r="E17" s="404" t="s">
        <v>81</v>
      </c>
      <c r="F17" s="775"/>
    </row>
    <row r="18" spans="2:8" s="23" customFormat="1" ht="13.8" hidden="1">
      <c r="B18" s="405" t="s">
        <v>75</v>
      </c>
      <c r="C18" s="406">
        <f>'1)Summary'!C12</f>
        <v>0</v>
      </c>
      <c r="D18" s="777"/>
      <c r="E18" s="407">
        <f>C18*D18</f>
        <v>0</v>
      </c>
      <c r="F18" s="775"/>
    </row>
    <row r="19" spans="2:8" s="23" customFormat="1" ht="13.8" hidden="1">
      <c r="B19" s="404" t="s">
        <v>76</v>
      </c>
      <c r="C19" s="408">
        <f>'1)Summary'!D12</f>
        <v>0</v>
      </c>
      <c r="D19" s="778"/>
      <c r="E19" s="409">
        <f>C19*D19</f>
        <v>0</v>
      </c>
      <c r="F19" s="775"/>
    </row>
    <row r="20" spans="2:8" s="23" customFormat="1" ht="13.8" hidden="1">
      <c r="B20" s="404" t="s">
        <v>77</v>
      </c>
      <c r="C20" s="408">
        <f>'1)Summary'!E12</f>
        <v>0</v>
      </c>
      <c r="D20" s="779"/>
      <c r="E20" s="409">
        <f>C20*D20</f>
        <v>0</v>
      </c>
      <c r="F20" s="775"/>
    </row>
    <row r="21" spans="2:8" s="23" customFormat="1" ht="13.8" hidden="1">
      <c r="B21" s="404" t="s">
        <v>78</v>
      </c>
      <c r="C21" s="408">
        <f>'1)Summary'!F12</f>
        <v>0</v>
      </c>
      <c r="D21" s="778"/>
      <c r="E21" s="409">
        <f>C21*D21</f>
        <v>0</v>
      </c>
      <c r="F21" s="775"/>
    </row>
    <row r="22" spans="2:8" s="23" customFormat="1" ht="13.8" hidden="1">
      <c r="B22" s="410" t="s">
        <v>79</v>
      </c>
      <c r="C22" s="411">
        <f>'1)Summary'!G12</f>
        <v>0</v>
      </c>
      <c r="D22" s="780"/>
      <c r="E22" s="412">
        <f>C22*D22</f>
        <v>0</v>
      </c>
      <c r="F22" s="775"/>
    </row>
    <row r="23" spans="2:8" s="23" customFormat="1" ht="13.8" hidden="1">
      <c r="B23" s="387"/>
      <c r="C23" s="387"/>
      <c r="D23" s="413" t="s">
        <v>280</v>
      </c>
      <c r="E23" s="414">
        <f>SUM(E18:E22)</f>
        <v>0</v>
      </c>
      <c r="F23" s="775"/>
    </row>
    <row r="24" spans="2:8" s="23" customFormat="1" ht="13.8" hidden="1">
      <c r="B24" s="387"/>
      <c r="C24" s="387"/>
      <c r="D24" s="781" t="s">
        <v>192</v>
      </c>
      <c r="E24" s="409">
        <f>'2)Sources &amp; Uses'!E159</f>
        <v>0</v>
      </c>
      <c r="F24" s="775"/>
    </row>
    <row r="25" spans="2:8" s="23" customFormat="1" ht="13.8" hidden="1">
      <c r="B25" s="387"/>
      <c r="C25" s="387"/>
      <c r="D25" s="781" t="s">
        <v>193</v>
      </c>
      <c r="E25" s="409" t="e">
        <f>E24/Units</f>
        <v>#DIV/0!</v>
      </c>
      <c r="F25" s="782"/>
    </row>
    <row r="26" spans="2:8" s="98" customFormat="1" ht="13.8" hidden="1">
      <c r="B26" s="413"/>
      <c r="C26" s="783"/>
      <c r="D26" s="415" t="s">
        <v>279</v>
      </c>
      <c r="E26" s="416" t="str">
        <f>IF(E24&lt;=E23,"Yes","NO")</f>
        <v>Yes</v>
      </c>
      <c r="F26" s="782"/>
    </row>
    <row r="27" spans="2:8" s="23" customFormat="1" ht="13.8" hidden="1">
      <c r="B27" s="387"/>
      <c r="C27" s="387"/>
      <c r="D27" s="781" t="s">
        <v>282</v>
      </c>
      <c r="E27" s="784" t="str">
        <f>IFERROR(E24/E23,"n/a")</f>
        <v>n/a</v>
      </c>
      <c r="F27" s="785"/>
    </row>
    <row r="28" spans="2:8" s="23" customFormat="1" ht="15.6" hidden="1">
      <c r="B28" s="383" t="s">
        <v>306</v>
      </c>
      <c r="C28" s="387"/>
      <c r="D28" s="387"/>
      <c r="E28" s="387"/>
      <c r="F28" s="387"/>
      <c r="G28" s="70"/>
      <c r="H28" s="269">
        <f>'1)Summary'!I7</f>
        <v>0</v>
      </c>
    </row>
    <row r="29" spans="2:8" s="23" customFormat="1" ht="14.25" hidden="1" customHeight="1">
      <c r="B29" s="1435" t="s">
        <v>304</v>
      </c>
      <c r="C29" s="1435"/>
      <c r="D29" s="1435"/>
      <c r="E29" s="786"/>
      <c r="F29" s="387"/>
      <c r="G29" s="70"/>
    </row>
    <row r="30" spans="2:8" s="23" customFormat="1" ht="13.8" hidden="1">
      <c r="B30" s="787" t="s">
        <v>140</v>
      </c>
      <c r="C30" s="788"/>
      <c r="D30" s="417" t="str">
        <f>IF('1)Summary'!I7="yes",TotalSqFt,"n/a")</f>
        <v>n/a</v>
      </c>
      <c r="E30" s="387"/>
      <c r="F30" s="775"/>
    </row>
    <row r="31" spans="2:8" s="23" customFormat="1" ht="13.8" hidden="1">
      <c r="B31" s="789" t="s">
        <v>142</v>
      </c>
      <c r="C31" s="790">
        <v>150</v>
      </c>
      <c r="D31" s="791" t="str">
        <f>IFERROR(D30*C31,"n/a")</f>
        <v>n/a</v>
      </c>
      <c r="E31" s="387"/>
      <c r="F31" s="775"/>
    </row>
    <row r="32" spans="2:8" s="23" customFormat="1" ht="13.8" hidden="1">
      <c r="B32" s="789" t="s">
        <v>141</v>
      </c>
      <c r="C32" s="792"/>
      <c r="D32" s="409">
        <f>'2)Sources &amp; Uses'!E159</f>
        <v>0</v>
      </c>
      <c r="E32" s="387"/>
      <c r="F32" s="775"/>
    </row>
    <row r="33" spans="2:24" s="23" customFormat="1" ht="13.8" hidden="1">
      <c r="B33" s="418" t="s">
        <v>279</v>
      </c>
      <c r="C33" s="792"/>
      <c r="D33" s="416" t="str">
        <f>IF(D32&lt;=D31,"Yes","NO")</f>
        <v>Yes</v>
      </c>
      <c r="E33" s="387"/>
      <c r="F33" s="775"/>
    </row>
    <row r="34" spans="2:24" s="23" customFormat="1" ht="13.8" hidden="1">
      <c r="B34" s="793" t="s">
        <v>282</v>
      </c>
      <c r="C34" s="794"/>
      <c r="D34" s="795" t="str">
        <f>IFERROR(D32/D31,"n/a")</f>
        <v>n/a</v>
      </c>
      <c r="E34" s="387"/>
      <c r="F34" s="387"/>
    </row>
    <row r="35" spans="2:24" s="23" customFormat="1" ht="8.25" customHeight="1">
      <c r="B35" s="796"/>
      <c r="D35" s="797"/>
      <c r="E35" s="63"/>
      <c r="F35" s="63"/>
    </row>
    <row r="36" spans="2:24" ht="17.25" customHeight="1">
      <c r="B36" s="58" t="s">
        <v>262</v>
      </c>
      <c r="C36" s="341"/>
      <c r="D36" s="704" t="s">
        <v>178</v>
      </c>
      <c r="E36" s="704" t="s">
        <v>161</v>
      </c>
      <c r="F36" s="423"/>
    </row>
    <row r="37" spans="2:24" s="189" customFormat="1" ht="13.8">
      <c r="B37" s="1010" t="s">
        <v>739</v>
      </c>
      <c r="C37" s="798"/>
      <c r="D37" s="799">
        <f>'2)Sources &amp; Uses'!F12</f>
        <v>0</v>
      </c>
      <c r="E37" s="799" t="e">
        <f>D37/Units</f>
        <v>#DIV/0!</v>
      </c>
      <c r="F37" s="800"/>
      <c r="G37" s="801"/>
    </row>
    <row r="38" spans="2:24" s="189" customFormat="1" ht="13.8">
      <c r="B38" s="805" t="s">
        <v>599</v>
      </c>
      <c r="C38" s="37"/>
      <c r="D38" s="806">
        <f>'2)Sources &amp; Uses'!E45</f>
        <v>0</v>
      </c>
      <c r="E38" s="806" t="e">
        <f>D38/Units</f>
        <v>#DIV/0!</v>
      </c>
      <c r="F38" s="800"/>
      <c r="G38" s="801"/>
    </row>
    <row r="39" spans="2:24" s="189" customFormat="1" ht="13.8">
      <c r="B39" s="802" t="s">
        <v>690</v>
      </c>
      <c r="C39" s="803"/>
      <c r="D39" s="804">
        <f>SUM('2)Sources &amp; Uses'!F15:F15)</f>
        <v>0</v>
      </c>
      <c r="E39" s="804" t="e">
        <f>D39/Units</f>
        <v>#DIV/0!</v>
      </c>
      <c r="F39" s="800"/>
      <c r="G39" s="801"/>
    </row>
    <row r="40" spans="2:24" s="453" customFormat="1" ht="13.8">
      <c r="B40" s="1436" t="s">
        <v>691</v>
      </c>
      <c r="C40" s="1436"/>
      <c r="D40" s="899">
        <f>SUM(D37:D39)</f>
        <v>0</v>
      </c>
      <c r="E40" s="900" t="e">
        <f>D40/Units</f>
        <v>#DIV/0!</v>
      </c>
      <c r="F40" s="901"/>
      <c r="G40" s="902"/>
    </row>
    <row r="41" spans="2:24" s="189" customFormat="1" ht="13.8">
      <c r="B41" s="805" t="s">
        <v>510</v>
      </c>
      <c r="C41" s="37"/>
      <c r="D41" s="807" t="e">
        <f>D40/TDC</f>
        <v>#DIV/0!</v>
      </c>
      <c r="E41" s="808"/>
      <c r="F41" s="809"/>
      <c r="G41" s="801"/>
    </row>
    <row r="42" spans="2:24" s="189" customFormat="1" ht="13.8">
      <c r="B42" s="802" t="s">
        <v>216</v>
      </c>
      <c r="C42" s="803"/>
      <c r="D42" s="810">
        <f>Units</f>
        <v>0</v>
      </c>
      <c r="E42" s="811"/>
      <c r="F42" s="800"/>
      <c r="G42" s="801"/>
    </row>
    <row r="43" spans="2:24" s="189" customFormat="1" ht="22.8" customHeight="1">
      <c r="B43" s="903" t="s">
        <v>271</v>
      </c>
      <c r="C43" s="37"/>
      <c r="D43" s="904" t="s">
        <v>272</v>
      </c>
      <c r="E43" s="812" t="s">
        <v>548</v>
      </c>
      <c r="F43" s="1433" t="e">
        <f>IF(E44&lt;D44,"You have not entered enough HOME units on the Income sheet!","")</f>
        <v>#DIV/0!</v>
      </c>
      <c r="G43" s="801"/>
    </row>
    <row r="44" spans="2:24" s="816" customFormat="1" ht="14.4">
      <c r="B44" s="813" t="s">
        <v>273</v>
      </c>
      <c r="C44" s="263"/>
      <c r="D44" s="814" t="e">
        <f>ROUNDUP(D41*Units,0)</f>
        <v>#DIV/0!</v>
      </c>
      <c r="E44" s="608">
        <f>'3)Income'!E38</f>
        <v>0</v>
      </c>
      <c r="F44" s="1433"/>
      <c r="G44" s="815"/>
      <c r="Q44" s="817"/>
      <c r="R44" s="817"/>
      <c r="S44" s="818" t="e">
        <f>IF(#REF!&lt;15000,"5 years",IF(#REF!&lt;=40000,"10 years", IF(#REF!&gt;40000,"15 years")))</f>
        <v>#REF!</v>
      </c>
      <c r="T44" s="819" t="s">
        <v>263</v>
      </c>
      <c r="U44" s="820" t="e">
        <v>#REF!</v>
      </c>
      <c r="V44" s="821" t="s">
        <v>264</v>
      </c>
      <c r="W44" s="273"/>
      <c r="X44" s="189"/>
    </row>
    <row r="45" spans="2:24" s="816" customFormat="1" ht="14.4">
      <c r="B45" s="813" t="s">
        <v>265</v>
      </c>
      <c r="C45" s="263"/>
      <c r="D45" s="814" t="e">
        <f>ROUNDUP(IF(D44&gt;=5,D44*0.2,0),0)</f>
        <v>#DIV/0!</v>
      </c>
      <c r="E45" s="608">
        <f>'3)Income'!F38</f>
        <v>0</v>
      </c>
      <c r="F45" s="1433" t="e">
        <f>IF(E45&lt;D45,"You Have not entered enough Low HOME units on the Income sheet!","")</f>
        <v>#DIV/0!</v>
      </c>
      <c r="G45" s="815"/>
      <c r="Q45" s="817"/>
      <c r="R45" s="817"/>
      <c r="S45" s="818"/>
      <c r="T45" s="819"/>
      <c r="U45" s="820"/>
      <c r="V45" s="821"/>
      <c r="W45" s="273"/>
      <c r="X45" s="189"/>
    </row>
    <row r="46" spans="2:24" s="189" customFormat="1" ht="13.8">
      <c r="B46" s="805" t="s">
        <v>267</v>
      </c>
      <c r="C46" s="37"/>
      <c r="D46" s="806" t="e">
        <f>D40/D44</f>
        <v>#DIV/0!</v>
      </c>
      <c r="E46" s="822" t="e">
        <f>D40/E44</f>
        <v>#DIV/0!</v>
      </c>
      <c r="F46" s="1433"/>
      <c r="G46" s="801"/>
    </row>
    <row r="47" spans="2:24" s="826" customFormat="1" ht="13.8">
      <c r="B47" s="1442" t="s">
        <v>266</v>
      </c>
      <c r="C47" s="823"/>
      <c r="D47" s="529"/>
      <c r="E47" s="1437" t="e">
        <f>IF(E46&lt;15000,"5 years",IF(E46&lt;=40000,"10 years", IF(E46&gt;40000,"15 years")))</f>
        <v>#DIV/0!</v>
      </c>
      <c r="F47" s="824"/>
      <c r="G47" s="825"/>
      <c r="Q47" s="817"/>
      <c r="R47" s="817"/>
      <c r="S47" s="817"/>
      <c r="T47" s="817"/>
      <c r="U47" s="817"/>
      <c r="V47" s="817"/>
      <c r="W47" s="817"/>
    </row>
    <row r="48" spans="2:24" s="826" customFormat="1" ht="10.5" customHeight="1">
      <c r="B48" s="1443"/>
      <c r="C48" s="1441">
        <f>'1)Summary'!I5</f>
        <v>0</v>
      </c>
      <c r="D48" s="1441"/>
      <c r="E48" s="1438"/>
      <c r="F48" s="827"/>
      <c r="G48" s="825"/>
      <c r="Q48" s="817"/>
      <c r="R48" s="817"/>
      <c r="S48" s="817"/>
      <c r="T48" s="817"/>
      <c r="U48" s="817"/>
      <c r="V48" s="817"/>
      <c r="W48" s="817"/>
    </row>
    <row r="49" spans="2:23" s="189" customFormat="1" ht="10.5" customHeight="1">
      <c r="B49" s="1443"/>
      <c r="C49" s="1441"/>
      <c r="D49" s="1441"/>
      <c r="E49" s="1439" t="str">
        <f>IF('1)Summary'!I5="New Construction","20 Years","")</f>
        <v/>
      </c>
      <c r="F49" s="37"/>
      <c r="G49" s="801"/>
      <c r="Q49" s="273"/>
      <c r="R49" s="273"/>
      <c r="S49" s="273"/>
      <c r="T49" s="273"/>
      <c r="U49" s="273"/>
      <c r="V49" s="273"/>
      <c r="W49" s="273"/>
    </row>
    <row r="50" spans="2:23" s="189" customFormat="1" ht="10.5" customHeight="1">
      <c r="B50" s="1444"/>
      <c r="C50" s="803"/>
      <c r="D50" s="828"/>
      <c r="E50" s="1440"/>
      <c r="F50" s="37"/>
      <c r="G50" s="801"/>
      <c r="Q50" s="273"/>
      <c r="R50" s="273"/>
      <c r="S50" s="273"/>
      <c r="T50" s="273"/>
      <c r="U50" s="273"/>
      <c r="V50" s="273"/>
      <c r="W50" s="273"/>
    </row>
    <row r="51" spans="2:23" s="23" customFormat="1" ht="18.75" customHeight="1">
      <c r="B51" s="341" t="s">
        <v>268</v>
      </c>
      <c r="C51" s="63"/>
      <c r="D51" s="63"/>
      <c r="E51" s="829" t="s">
        <v>271</v>
      </c>
      <c r="F51" s="830"/>
      <c r="G51" s="70"/>
    </row>
    <row r="52" spans="2:23" s="143" customFormat="1" ht="14.25" customHeight="1">
      <c r="B52" s="831" t="s">
        <v>269</v>
      </c>
      <c r="C52" s="832" t="s">
        <v>194</v>
      </c>
      <c r="D52" s="832" t="s">
        <v>270</v>
      </c>
      <c r="E52" s="832" t="s">
        <v>515</v>
      </c>
      <c r="F52" s="830"/>
      <c r="G52" s="830"/>
      <c r="H52" s="830"/>
      <c r="I52" s="830"/>
    </row>
    <row r="53" spans="2:23" s="23" customFormat="1" ht="13.8">
      <c r="B53" s="833" t="s">
        <v>75</v>
      </c>
      <c r="C53" s="704">
        <f>'1)Summary'!C12</f>
        <v>0</v>
      </c>
      <c r="D53" s="834" t="e">
        <f>$D$41</f>
        <v>#DIV/0!</v>
      </c>
      <c r="E53" s="835" t="e">
        <f>C53*D53</f>
        <v>#DIV/0!</v>
      </c>
      <c r="F53" s="830"/>
    </row>
    <row r="54" spans="2:23" s="23" customFormat="1" ht="13.8">
      <c r="B54" s="833" t="s">
        <v>76</v>
      </c>
      <c r="C54" s="704">
        <f>'1)Summary'!D12</f>
        <v>0</v>
      </c>
      <c r="D54" s="834" t="e">
        <f>$D$41</f>
        <v>#DIV/0!</v>
      </c>
      <c r="E54" s="835" t="e">
        <f>C54*D54</f>
        <v>#DIV/0!</v>
      </c>
      <c r="F54" s="830"/>
    </row>
    <row r="55" spans="2:23" s="23" customFormat="1" ht="13.8">
      <c r="B55" s="833" t="s">
        <v>77</v>
      </c>
      <c r="C55" s="704">
        <f>'1)Summary'!E12</f>
        <v>0</v>
      </c>
      <c r="D55" s="834" t="e">
        <f>$D$41</f>
        <v>#DIV/0!</v>
      </c>
      <c r="E55" s="835" t="e">
        <f>C55*D55</f>
        <v>#DIV/0!</v>
      </c>
      <c r="F55" s="830"/>
    </row>
    <row r="56" spans="2:23" s="23" customFormat="1" ht="13.8">
      <c r="B56" s="833" t="s">
        <v>78</v>
      </c>
      <c r="C56" s="704">
        <f>'1)Summary'!F12</f>
        <v>0</v>
      </c>
      <c r="D56" s="834" t="e">
        <f>$D$41</f>
        <v>#DIV/0!</v>
      </c>
      <c r="E56" s="835" t="e">
        <f>C56*D56</f>
        <v>#DIV/0!</v>
      </c>
      <c r="F56" s="830"/>
    </row>
    <row r="57" spans="2:23" s="23" customFormat="1" ht="13.8">
      <c r="B57" s="836" t="s">
        <v>79</v>
      </c>
      <c r="C57" s="190">
        <f>'1)Summary'!G12</f>
        <v>0</v>
      </c>
      <c r="D57" s="837" t="e">
        <f>$D$41</f>
        <v>#DIV/0!</v>
      </c>
      <c r="E57" s="838" t="e">
        <f>C57*D57</f>
        <v>#DIV/0!</v>
      </c>
      <c r="F57" s="830"/>
    </row>
    <row r="58" spans="2:23" s="98" customFormat="1" ht="13.8">
      <c r="B58" s="839" t="s">
        <v>178</v>
      </c>
      <c r="C58" s="95">
        <f>SUM(C53:C57)</f>
        <v>0</v>
      </c>
      <c r="D58" s="95" t="s">
        <v>513</v>
      </c>
      <c r="E58" s="422" t="e">
        <f>ROUNDUP(SUM(E53:E57),0)</f>
        <v>#DIV/0!</v>
      </c>
      <c r="F58" s="830"/>
    </row>
    <row r="59" spans="2:23" s="23" customFormat="1" ht="13.8">
      <c r="B59" s="341" t="s">
        <v>302</v>
      </c>
      <c r="C59" s="1434" t="s">
        <v>274</v>
      </c>
      <c r="D59" s="1434"/>
      <c r="E59" s="1434"/>
      <c r="F59" s="830"/>
    </row>
    <row r="60" spans="2:23" s="143" customFormat="1" ht="16.5" customHeight="1">
      <c r="B60" s="704" t="s">
        <v>73</v>
      </c>
      <c r="C60" s="829" t="s">
        <v>277</v>
      </c>
      <c r="D60" s="829" t="s">
        <v>278</v>
      </c>
      <c r="E60" s="829" t="s">
        <v>178</v>
      </c>
      <c r="F60" s="206"/>
      <c r="G60" s="830"/>
      <c r="H60" s="830"/>
      <c r="I60" s="830"/>
    </row>
    <row r="61" spans="2:23" s="23" customFormat="1" ht="13.8">
      <c r="B61" s="840" t="s">
        <v>75</v>
      </c>
      <c r="C61" s="529">
        <f>(SUM('3)Income'!B40:B44)-'6)Compliance Checks'!D61)</f>
        <v>0</v>
      </c>
      <c r="D61" s="529">
        <f>SUM('3)Income'!A40:A44)</f>
        <v>0</v>
      </c>
      <c r="E61" s="841">
        <f t="shared" ref="E61:E66" si="0">SUM(C61:D61)</f>
        <v>0</v>
      </c>
      <c r="F61" s="1433" t="e">
        <f>IF(E66&lt;D44,"You have not entered enough HOME units on the Income sheet!","")</f>
        <v>#DIV/0!</v>
      </c>
    </row>
    <row r="62" spans="2:23" s="23" customFormat="1" ht="13.8">
      <c r="B62" s="704" t="s">
        <v>76</v>
      </c>
      <c r="C62" s="530">
        <f>(SUM('3)Income'!B47:B51)-'6)Compliance Checks'!D62)</f>
        <v>0</v>
      </c>
      <c r="D62" s="530">
        <f>SUM('3)Income'!A47:A51)</f>
        <v>0</v>
      </c>
      <c r="E62" s="95">
        <f t="shared" si="0"/>
        <v>0</v>
      </c>
      <c r="F62" s="1433"/>
    </row>
    <row r="63" spans="2:23" s="23" customFormat="1" ht="13.8">
      <c r="B63" s="704" t="s">
        <v>77</v>
      </c>
      <c r="C63" s="530">
        <f>(SUM('3)Income'!B54:B58)-'6)Compliance Checks'!D63)</f>
        <v>0</v>
      </c>
      <c r="D63" s="530">
        <f>SUM('3)Income'!A54:A58)</f>
        <v>0</v>
      </c>
      <c r="E63" s="95">
        <f t="shared" si="0"/>
        <v>0</v>
      </c>
      <c r="F63" s="1433" t="e">
        <f>IF(D66&lt;D45,"You Have not entered enough Low HOME units on the Income sheet!","")</f>
        <v>#DIV/0!</v>
      </c>
    </row>
    <row r="64" spans="2:23" s="23" customFormat="1" ht="13.8">
      <c r="B64" s="704" t="s">
        <v>78</v>
      </c>
      <c r="C64" s="530">
        <f>(SUM('3)Income'!B61:B65)-'6)Compliance Checks'!D64)</f>
        <v>0</v>
      </c>
      <c r="D64" s="530">
        <f>SUM('3)Income'!A61:A65)</f>
        <v>0</v>
      </c>
      <c r="E64" s="95">
        <f t="shared" si="0"/>
        <v>0</v>
      </c>
      <c r="F64" s="1433"/>
    </row>
    <row r="65" spans="2:7" s="23" customFormat="1" ht="13.8">
      <c r="B65" s="190" t="s">
        <v>79</v>
      </c>
      <c r="C65" s="531">
        <f>SUM('3)Income'!B68:B72)-'6)Compliance Checks'!D65</f>
        <v>0</v>
      </c>
      <c r="D65" s="531">
        <f>SUM('3)Income'!A68:A72)</f>
        <v>0</v>
      </c>
      <c r="E65" s="198">
        <f t="shared" si="0"/>
        <v>0</v>
      </c>
      <c r="F65" s="842"/>
    </row>
    <row r="66" spans="2:7" s="98" customFormat="1" ht="13.8">
      <c r="B66" s="839" t="s">
        <v>178</v>
      </c>
      <c r="C66" s="95">
        <f>SUM(C61:C65)</f>
        <v>0</v>
      </c>
      <c r="D66" s="95">
        <f>SUM(D61:D65)</f>
        <v>0</v>
      </c>
      <c r="E66" s="95">
        <f t="shared" si="0"/>
        <v>0</v>
      </c>
      <c r="F66" s="842"/>
    </row>
    <row r="67" spans="2:7" s="23" customFormat="1" ht="22.5" customHeight="1">
      <c r="B67" s="341" t="s">
        <v>489</v>
      </c>
      <c r="C67" s="95"/>
      <c r="D67" s="1108" t="s">
        <v>782</v>
      </c>
      <c r="E67" s="704" t="s">
        <v>294</v>
      </c>
      <c r="F67" s="206"/>
    </row>
    <row r="68" spans="2:7" s="23" customFormat="1" ht="13.8">
      <c r="B68" s="704" t="s">
        <v>73</v>
      </c>
      <c r="C68" s="704" t="s">
        <v>281</v>
      </c>
      <c r="D68" s="1108" t="s">
        <v>783</v>
      </c>
      <c r="E68" s="190" t="s">
        <v>85</v>
      </c>
      <c r="F68" s="276"/>
      <c r="G68" s="276"/>
    </row>
    <row r="69" spans="2:7" s="23" customFormat="1" ht="13.8">
      <c r="B69" s="840" t="s">
        <v>75</v>
      </c>
      <c r="C69" s="840">
        <f>C61+D61</f>
        <v>0</v>
      </c>
      <c r="D69" s="588">
        <f>'0)UnderwritingCriteria'!F40</f>
        <v>173011</v>
      </c>
      <c r="E69" s="843">
        <f>+C69*D69</f>
        <v>0</v>
      </c>
      <c r="F69" s="276"/>
    </row>
    <row r="70" spans="2:7" s="23" customFormat="1" ht="13.8">
      <c r="B70" s="704" t="s">
        <v>76</v>
      </c>
      <c r="C70" s="704">
        <f>C62+D62</f>
        <v>0</v>
      </c>
      <c r="D70" s="589">
        <f>'0)UnderwritingCriteria'!F41</f>
        <v>198331</v>
      </c>
      <c r="E70" s="843">
        <f>+C70*D70</f>
        <v>0</v>
      </c>
      <c r="F70" s="276"/>
    </row>
    <row r="71" spans="2:7" s="23" customFormat="1" ht="13.8">
      <c r="B71" s="704" t="s">
        <v>77</v>
      </c>
      <c r="C71" s="704">
        <f>+C63+D63</f>
        <v>0</v>
      </c>
      <c r="D71" s="589">
        <f>'0)UnderwritingCriteria'!F42</f>
        <v>241176</v>
      </c>
      <c r="E71" s="843">
        <f>+C71*D71</f>
        <v>0</v>
      </c>
    </row>
    <row r="72" spans="2:7" s="23" customFormat="1" ht="13.8">
      <c r="B72" s="704" t="s">
        <v>78</v>
      </c>
      <c r="C72" s="704">
        <f>+C64+D64</f>
        <v>0</v>
      </c>
      <c r="D72" s="589">
        <f>'0)UnderwritingCriteria'!F43</f>
        <v>312005</v>
      </c>
      <c r="E72" s="843">
        <f>+C72*D72</f>
        <v>0</v>
      </c>
    </row>
    <row r="73" spans="2:7" s="23" customFormat="1" ht="13.8">
      <c r="B73" s="190" t="s">
        <v>79</v>
      </c>
      <c r="C73" s="190">
        <f>C65+D65</f>
        <v>0</v>
      </c>
      <c r="D73" s="590">
        <f>'0)UnderwritingCriteria'!F44</f>
        <v>342482</v>
      </c>
      <c r="E73" s="844">
        <f>+C73*D73</f>
        <v>0</v>
      </c>
    </row>
    <row r="74" spans="2:7" s="23" customFormat="1" ht="13.8">
      <c r="B74" s="63"/>
      <c r="C74" s="95">
        <f>SUM(C69:C73)</f>
        <v>0</v>
      </c>
      <c r="D74" s="845" t="s">
        <v>598</v>
      </c>
      <c r="E74" s="339">
        <f>SUM(E69:E73)</f>
        <v>0</v>
      </c>
    </row>
    <row r="75" spans="2:7" s="23" customFormat="1" ht="13.8">
      <c r="B75" s="63"/>
      <c r="D75" s="846" t="s">
        <v>276</v>
      </c>
      <c r="E75" s="843">
        <f>D40</f>
        <v>0</v>
      </c>
      <c r="F75" s="63"/>
    </row>
    <row r="76" spans="2:7" s="23" customFormat="1" ht="13.8">
      <c r="B76" s="110"/>
      <c r="D76" s="609" t="s">
        <v>279</v>
      </c>
      <c r="E76" s="610" t="str">
        <f>IF(E75&lt;=E74,"Yes","NO")</f>
        <v>Yes</v>
      </c>
      <c r="F76" s="63"/>
      <c r="G76" s="70"/>
    </row>
    <row r="77" spans="2:7" s="23" customFormat="1" ht="13.8">
      <c r="B77" s="63"/>
      <c r="C77" s="63"/>
      <c r="D77" s="63"/>
      <c r="E77" s="63"/>
      <c r="F77" s="63"/>
      <c r="G77" s="70"/>
    </row>
    <row r="78" spans="2:7" s="23" customFormat="1" ht="13.8">
      <c r="B78" s="110"/>
      <c r="C78" s="63"/>
      <c r="D78" s="63"/>
      <c r="E78" s="63"/>
      <c r="F78" s="63"/>
      <c r="G78" s="70"/>
    </row>
    <row r="79" spans="2:7" s="23" customFormat="1" ht="13.8">
      <c r="B79" s="73"/>
      <c r="C79" s="72"/>
      <c r="G79" s="70"/>
    </row>
    <row r="80" spans="2:7" s="23" customFormat="1" ht="13.8">
      <c r="B80" s="73"/>
      <c r="G80" s="70"/>
    </row>
    <row r="81" spans="7:7" s="23" customFormat="1" ht="13.8">
      <c r="G81" s="70"/>
    </row>
    <row r="82" spans="7:7" s="23" customFormat="1" ht="13.8">
      <c r="G82" s="70"/>
    </row>
    <row r="83" spans="7:7" s="23" customFormat="1" ht="13.8">
      <c r="G83" s="70"/>
    </row>
    <row r="84" spans="7:7" s="23" customFormat="1" ht="13.8">
      <c r="G84" s="70"/>
    </row>
    <row r="85" spans="7:7" s="23" customFormat="1" ht="13.8">
      <c r="G85" s="70"/>
    </row>
    <row r="86" spans="7:7" s="23" customFormat="1" ht="13.8">
      <c r="G86" s="70"/>
    </row>
    <row r="87" spans="7:7" s="23" customFormat="1" ht="13.8">
      <c r="G87" s="70"/>
    </row>
    <row r="88" spans="7:7" s="23" customFormat="1" ht="13.8">
      <c r="G88" s="70"/>
    </row>
    <row r="89" spans="7:7" s="23" customFormat="1" ht="13.8">
      <c r="G89" s="70"/>
    </row>
    <row r="90" spans="7:7" s="23" customFormat="1" ht="13.8">
      <c r="G90" s="70"/>
    </row>
    <row r="91" spans="7:7" s="23" customFormat="1" ht="13.8">
      <c r="G91" s="70"/>
    </row>
    <row r="92" spans="7:7" s="23" customFormat="1" ht="13.8">
      <c r="G92" s="70"/>
    </row>
    <row r="93" spans="7:7" s="23" customFormat="1" ht="13.8">
      <c r="G93" s="70"/>
    </row>
    <row r="94" spans="7:7" s="23" customFormat="1" ht="13.8">
      <c r="G94" s="70"/>
    </row>
    <row r="95" spans="7:7" s="23" customFormat="1" ht="13.8">
      <c r="G95" s="70"/>
    </row>
    <row r="96" spans="7:7" s="23" customFormat="1" ht="13.8">
      <c r="G96" s="70"/>
    </row>
    <row r="97" spans="6:7" s="23" customFormat="1">
      <c r="F97"/>
      <c r="G97" s="70"/>
    </row>
  </sheetData>
  <mergeCells count="14">
    <mergeCell ref="F61:F62"/>
    <mergeCell ref="F63:F64"/>
    <mergeCell ref="B1:E1"/>
    <mergeCell ref="B2:E2"/>
    <mergeCell ref="C59:E59"/>
    <mergeCell ref="B29:D29"/>
    <mergeCell ref="B40:C40"/>
    <mergeCell ref="E47:E48"/>
    <mergeCell ref="E49:E50"/>
    <mergeCell ref="C48:D49"/>
    <mergeCell ref="B47:B50"/>
    <mergeCell ref="F43:F44"/>
    <mergeCell ref="F45:F46"/>
    <mergeCell ref="B3:E3"/>
  </mergeCells>
  <phoneticPr fontId="0" type="noConversion"/>
  <conditionalFormatting sqref="B76">
    <cfRule type="expression" dxfId="11" priority="66" stopIfTrue="1">
      <formula>E75&lt;E74</formula>
    </cfRule>
  </conditionalFormatting>
  <conditionalFormatting sqref="B78">
    <cfRule type="expression" dxfId="10" priority="90" stopIfTrue="1">
      <formula>D32&gt;D31</formula>
    </cfRule>
    <cfRule type="expression" dxfId="9" priority="91" stopIfTrue="1">
      <formula>D32&lt;=D31</formula>
    </cfRule>
  </conditionalFormatting>
  <conditionalFormatting sqref="B28:E34">
    <cfRule type="expression" dxfId="8" priority="7" stopIfTrue="1">
      <formula>$H$28="No"</formula>
    </cfRule>
  </conditionalFormatting>
  <conditionalFormatting sqref="C79">
    <cfRule type="expression" dxfId="7" priority="88" stopIfTrue="1">
      <formula>D32&gt;D31</formula>
    </cfRule>
    <cfRule type="expression" dxfId="6" priority="89" stopIfTrue="1">
      <formula>D32&lt;=D31</formula>
    </cfRule>
  </conditionalFormatting>
  <conditionalFormatting sqref="D66">
    <cfRule type="expression" dxfId="5" priority="3" stopIfTrue="1">
      <formula>$D$66&lt;$D$45</formula>
    </cfRule>
  </conditionalFormatting>
  <conditionalFormatting sqref="E44">
    <cfRule type="expression" dxfId="4" priority="6" stopIfTrue="1">
      <formula>$E$44&lt;$D$44</formula>
    </cfRule>
  </conditionalFormatting>
  <conditionalFormatting sqref="E45">
    <cfRule type="expression" dxfId="3" priority="5" stopIfTrue="1">
      <formula>$E$45&lt;$D$45</formula>
    </cfRule>
  </conditionalFormatting>
  <conditionalFormatting sqref="E47">
    <cfRule type="expression" dxfId="2" priority="2" stopIfTrue="1">
      <formula>$E$49="20 Years"</formula>
    </cfRule>
  </conditionalFormatting>
  <conditionalFormatting sqref="E66">
    <cfRule type="expression" dxfId="1" priority="4" stopIfTrue="1">
      <formula>$E$66&lt;$D$44</formula>
    </cfRule>
  </conditionalFormatting>
  <printOptions horizontalCentered="1"/>
  <pageMargins left="0.75" right="0.75" top="1" bottom="1" header="0.5" footer="0.5"/>
  <pageSetup scale="90" orientation="portrait" r:id="rId1"/>
  <headerFooter alignWithMargins="0">
    <oddFooter>&amp;L&amp;10&amp;F
&amp;A&amp;R&amp;10Louisville Metro Government
Page &amp;P of &amp;N</oddFooter>
  </headerFooter>
  <ignoredErrors>
    <ignoredError sqref="E53:E57"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31"/>
  <sheetViews>
    <sheetView workbookViewId="0">
      <selection activeCell="B17" sqref="B17"/>
    </sheetView>
  </sheetViews>
  <sheetFormatPr defaultColWidth="8.90625" defaultRowHeight="15"/>
  <cols>
    <col min="1" max="1" width="35.6328125" customWidth="1"/>
    <col min="4" max="4" width="9.81640625" customWidth="1"/>
    <col min="5" max="5" width="12.6328125" customWidth="1"/>
    <col min="6" max="6" width="49" customWidth="1"/>
  </cols>
  <sheetData>
    <row r="1" spans="1:6" ht="18">
      <c r="A1" s="1068" t="s">
        <v>778</v>
      </c>
      <c r="B1" s="1057"/>
      <c r="C1" s="1057"/>
      <c r="D1" s="1057"/>
      <c r="E1" s="1057"/>
    </row>
    <row r="2" spans="1:6">
      <c r="B2" s="13"/>
      <c r="C2" s="13"/>
      <c r="D2" s="13"/>
      <c r="E2" s="10"/>
    </row>
    <row r="3" spans="1:6" ht="16.2" thickBot="1">
      <c r="A3" s="1058" t="s">
        <v>746</v>
      </c>
      <c r="B3" s="1106">
        <f>(Project)</f>
        <v>0</v>
      </c>
      <c r="C3" s="1106"/>
      <c r="D3" s="1106"/>
      <c r="E3" s="1106"/>
      <c r="F3" s="1071" t="s">
        <v>492</v>
      </c>
    </row>
    <row r="4" spans="1:6" ht="16.2" thickBot="1">
      <c r="A4" s="1058" t="s">
        <v>747</v>
      </c>
      <c r="B4" s="1107"/>
      <c r="C4" s="766" t="s">
        <v>748</v>
      </c>
      <c r="D4" s="13"/>
      <c r="E4" s="10"/>
    </row>
    <row r="5" spans="1:6" ht="16.2" thickBot="1">
      <c r="A5" s="1058" t="s">
        <v>749</v>
      </c>
      <c r="B5" s="1107"/>
      <c r="C5" s="766" t="s">
        <v>750</v>
      </c>
      <c r="D5" s="13"/>
      <c r="E5" s="10"/>
    </row>
    <row r="6" spans="1:6" ht="16.2" thickBot="1">
      <c r="A6" s="1058" t="s">
        <v>751</v>
      </c>
      <c r="B6" s="1107"/>
      <c r="C6" s="766" t="s">
        <v>750</v>
      </c>
      <c r="D6" s="13"/>
      <c r="E6" s="10"/>
    </row>
    <row r="7" spans="1:6" ht="16.2" thickBot="1">
      <c r="A7" s="1058" t="s">
        <v>779</v>
      </c>
      <c r="B7" s="1105">
        <f>SUM(B6*0.2)</f>
        <v>0</v>
      </c>
      <c r="C7" s="766" t="s">
        <v>750</v>
      </c>
      <c r="D7" s="8"/>
      <c r="E7" s="10"/>
      <c r="F7" t="s">
        <v>780</v>
      </c>
    </row>
    <row r="8" spans="1:6" ht="16.2" thickBot="1">
      <c r="A8" s="1058" t="s">
        <v>774</v>
      </c>
      <c r="B8" s="1107"/>
      <c r="C8" s="766"/>
      <c r="D8" s="13"/>
      <c r="E8" s="10"/>
    </row>
    <row r="9" spans="1:6" ht="15.6" thickBot="1">
      <c r="B9" s="13"/>
      <c r="C9" s="13"/>
      <c r="D9" s="13"/>
      <c r="E9" s="10"/>
    </row>
    <row r="10" spans="1:6" ht="29.4" thickBot="1">
      <c r="A10" s="1072" t="s">
        <v>752</v>
      </c>
      <c r="B10" s="1062" t="s">
        <v>753</v>
      </c>
      <c r="C10" s="1062" t="s">
        <v>754</v>
      </c>
      <c r="D10" s="1062"/>
      <c r="E10" s="1062" t="s">
        <v>755</v>
      </c>
      <c r="F10" s="1059"/>
    </row>
    <row r="11" spans="1:6" ht="15.6" thickBot="1">
      <c r="A11" s="1073" t="s">
        <v>756</v>
      </c>
      <c r="B11" s="1074"/>
      <c r="C11" s="1074"/>
      <c r="D11" s="1074"/>
      <c r="E11" s="1075"/>
      <c r="F11" s="1060"/>
    </row>
    <row r="12" spans="1:6" ht="15.6" thickBot="1">
      <c r="A12" s="1076" t="s">
        <v>757</v>
      </c>
      <c r="B12" s="1077">
        <v>5</v>
      </c>
      <c r="C12" s="1078">
        <v>23.8</v>
      </c>
      <c r="D12" s="1077"/>
      <c r="E12" s="1079">
        <f>B12*C12</f>
        <v>119</v>
      </c>
      <c r="F12" s="1061"/>
    </row>
    <row r="13" spans="1:6" ht="15.6" thickBot="1">
      <c r="A13" s="1076" t="s">
        <v>758</v>
      </c>
      <c r="B13" s="1077">
        <v>5</v>
      </c>
      <c r="C13" s="1078">
        <v>23.8</v>
      </c>
      <c r="D13" s="1077"/>
      <c r="E13" s="1079">
        <f t="shared" ref="E13:E15" si="0">B13*C13</f>
        <v>119</v>
      </c>
      <c r="F13" s="1061"/>
    </row>
    <row r="14" spans="1:6" ht="15.6" thickBot="1">
      <c r="A14" s="1076" t="s">
        <v>759</v>
      </c>
      <c r="B14" s="1077">
        <v>5</v>
      </c>
      <c r="C14" s="1078">
        <v>23.8</v>
      </c>
      <c r="D14" s="1077"/>
      <c r="E14" s="1079">
        <f t="shared" si="0"/>
        <v>119</v>
      </c>
      <c r="F14" s="1061"/>
    </row>
    <row r="15" spans="1:6" ht="15.6" thickBot="1">
      <c r="A15" s="1076" t="s">
        <v>760</v>
      </c>
      <c r="B15" s="1077"/>
      <c r="C15" s="1077"/>
      <c r="D15" s="1077"/>
      <c r="E15" s="1079">
        <f t="shared" si="0"/>
        <v>0</v>
      </c>
      <c r="F15" s="1061"/>
    </row>
    <row r="16" spans="1:6" ht="15.6" thickBot="1">
      <c r="A16" s="1080"/>
      <c r="B16" s="1075"/>
      <c r="C16" s="1075"/>
      <c r="D16" s="1081" t="s">
        <v>761</v>
      </c>
      <c r="E16" s="1079">
        <f>SUM(E12:E15)</f>
        <v>357</v>
      </c>
      <c r="F16" s="1061"/>
    </row>
    <row r="17" spans="1:6" ht="15.6" thickBot="1">
      <c r="A17" s="1082"/>
      <c r="B17" s="1074"/>
      <c r="C17" s="1074"/>
      <c r="D17" s="1074"/>
      <c r="E17" s="1074"/>
      <c r="F17" s="1069"/>
    </row>
    <row r="18" spans="1:6" ht="29.4" thickBot="1">
      <c r="A18" s="1073" t="s">
        <v>762</v>
      </c>
      <c r="B18" s="1083" t="s">
        <v>753</v>
      </c>
      <c r="C18" s="1083" t="s">
        <v>754</v>
      </c>
      <c r="D18" s="1062" t="s">
        <v>763</v>
      </c>
      <c r="E18" s="1083" t="s">
        <v>755</v>
      </c>
      <c r="F18" s="1070"/>
    </row>
    <row r="19" spans="1:6" ht="15.6" thickBot="1">
      <c r="A19" s="1076" t="s">
        <v>764</v>
      </c>
      <c r="B19" s="1077">
        <v>0.5</v>
      </c>
      <c r="C19" s="1078">
        <v>23.8</v>
      </c>
      <c r="D19" s="1084">
        <f>B7</f>
        <v>0</v>
      </c>
      <c r="E19" s="1079">
        <f>(B19*C19) * D19</f>
        <v>0</v>
      </c>
      <c r="F19" s="1061"/>
    </row>
    <row r="20" spans="1:6" ht="15.6" thickBot="1">
      <c r="A20" s="1076" t="s">
        <v>765</v>
      </c>
      <c r="B20" s="1077">
        <v>0.5</v>
      </c>
      <c r="C20" s="1078">
        <v>23.8</v>
      </c>
      <c r="D20" s="1085">
        <f>B7</f>
        <v>0</v>
      </c>
      <c r="E20" s="1079">
        <f>B20*C20*D20</f>
        <v>0</v>
      </c>
      <c r="F20" s="1061"/>
    </row>
    <row r="21" spans="1:6" ht="15.6" thickBot="1">
      <c r="A21" s="1076" t="s">
        <v>766</v>
      </c>
      <c r="B21" s="1077">
        <v>0.5</v>
      </c>
      <c r="C21" s="1078">
        <v>23.8</v>
      </c>
      <c r="D21" s="1085">
        <f>B7</f>
        <v>0</v>
      </c>
      <c r="E21" s="1079">
        <f>B21*C21*D21</f>
        <v>0</v>
      </c>
      <c r="F21" s="1061"/>
    </row>
    <row r="22" spans="1:6" ht="15.6" thickBot="1">
      <c r="A22" s="1086" t="s">
        <v>767</v>
      </c>
      <c r="B22" s="1087"/>
      <c r="C22" s="1088">
        <v>0.5</v>
      </c>
      <c r="D22" s="1085">
        <f>B7</f>
        <v>0</v>
      </c>
      <c r="E22" s="1079">
        <f>E21*C22</f>
        <v>0</v>
      </c>
      <c r="F22" s="1061"/>
    </row>
    <row r="23" spans="1:6" ht="15.6" thickBot="1">
      <c r="A23" s="1065" t="s">
        <v>775</v>
      </c>
      <c r="B23" s="1067" t="s">
        <v>777</v>
      </c>
      <c r="C23" s="1066" t="s">
        <v>776</v>
      </c>
      <c r="D23" s="1085"/>
      <c r="E23" s="1079"/>
      <c r="F23" s="1061"/>
    </row>
    <row r="24" spans="1:6" ht="15.6" thickBot="1">
      <c r="A24" s="1076" t="s">
        <v>768</v>
      </c>
      <c r="B24" s="1077">
        <v>0.47</v>
      </c>
      <c r="C24" s="1089">
        <f>B8</f>
        <v>0</v>
      </c>
      <c r="D24" s="1085"/>
      <c r="E24" s="1079">
        <f t="shared" ref="E24:E25" si="1">B24*C24</f>
        <v>0</v>
      </c>
      <c r="F24" s="1061"/>
    </row>
    <row r="25" spans="1:6" ht="15.6" thickBot="1">
      <c r="A25" s="1076" t="s">
        <v>760</v>
      </c>
      <c r="B25" s="1077"/>
      <c r="C25" s="1078"/>
      <c r="D25" s="1085"/>
      <c r="E25" s="1079">
        <f t="shared" si="1"/>
        <v>0</v>
      </c>
      <c r="F25" s="1061"/>
    </row>
    <row r="26" spans="1:6" ht="15.6" thickBot="1">
      <c r="A26" s="1076"/>
      <c r="B26" s="1077"/>
      <c r="C26" s="1077"/>
      <c r="D26" s="1077"/>
      <c r="E26" s="1090"/>
      <c r="F26" s="1063"/>
    </row>
    <row r="27" spans="1:6" ht="15.6" thickBot="1">
      <c r="A27" s="1091" t="s">
        <v>769</v>
      </c>
      <c r="B27" s="1092"/>
      <c r="C27" s="1092"/>
      <c r="D27" s="1093"/>
      <c r="E27" s="1079">
        <f>SUM(E19:E23)</f>
        <v>0</v>
      </c>
      <c r="F27" s="1061"/>
    </row>
    <row r="28" spans="1:6" ht="15.6" thickBot="1">
      <c r="A28" s="1094"/>
      <c r="B28" s="1095"/>
      <c r="C28" s="1095" t="s">
        <v>770</v>
      </c>
      <c r="D28" s="1096" t="str">
        <f>IF(B5&lt;5,"3",IF(B5&lt;25,"2",IF(B5&gt;=25,"1")))</f>
        <v>3</v>
      </c>
      <c r="E28" s="10"/>
      <c r="F28" s="1064"/>
    </row>
    <row r="29" spans="1:6" ht="15.6" thickBot="1">
      <c r="A29" s="1097"/>
      <c r="B29" s="1098"/>
      <c r="C29" s="1099"/>
      <c r="D29" s="1099" t="s">
        <v>771</v>
      </c>
      <c r="E29" s="1100">
        <f>E27/D28</f>
        <v>0</v>
      </c>
      <c r="F29" s="1061"/>
    </row>
    <row r="30" spans="1:6" ht="16.2" thickBot="1">
      <c r="A30" s="1101"/>
      <c r="B30" s="1102"/>
      <c r="C30" s="1103"/>
      <c r="D30" s="1103" t="s">
        <v>772</v>
      </c>
      <c r="E30" s="1104">
        <f>E29+E16</f>
        <v>357</v>
      </c>
      <c r="F30" s="1061"/>
    </row>
    <row r="31" spans="1:6" ht="16.2" thickBot="1">
      <c r="A31" s="1101"/>
      <c r="B31" s="1102"/>
      <c r="C31" s="1103"/>
      <c r="D31" s="1103" t="s">
        <v>773</v>
      </c>
      <c r="E31" s="1104">
        <f>SUM(E30*B4)/(D28)</f>
        <v>0</v>
      </c>
      <c r="F31" s="1061"/>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Instructions</vt:lpstr>
      <vt:lpstr>0)UnderwritingCriteria</vt:lpstr>
      <vt:lpstr>1)Summary</vt:lpstr>
      <vt:lpstr>2)Sources &amp; Uses</vt:lpstr>
      <vt:lpstr>3)Income</vt:lpstr>
      <vt:lpstr>4)Expenses</vt:lpstr>
      <vt:lpstr>5)Operating Proforma</vt:lpstr>
      <vt:lpstr>6)Compliance Checks</vt:lpstr>
      <vt:lpstr>Monitoring Fee Calculator</vt:lpstr>
      <vt:lpstr>7)Housing Credits</vt:lpstr>
      <vt:lpstr>MBEetc</vt:lpstr>
      <vt:lpstr>Applicant</vt:lpstr>
      <vt:lpstr>Construction</vt:lpstr>
      <vt:lpstr>DDF</vt:lpstr>
      <vt:lpstr>name</vt:lpstr>
      <vt:lpstr>Owner</vt:lpstr>
      <vt:lpstr>'0)UnderwritingCriteria'!Print_Area</vt:lpstr>
      <vt:lpstr>'1)Summary'!Print_Area</vt:lpstr>
      <vt:lpstr>'2)Sources &amp; Uses'!Print_Area</vt:lpstr>
      <vt:lpstr>'3)Income'!Print_Area</vt:lpstr>
      <vt:lpstr>'4)Expenses'!Print_Area</vt:lpstr>
      <vt:lpstr>'5)Operating Proforma'!Print_Area</vt:lpstr>
      <vt:lpstr>'6)Compliance Checks'!Print_Area</vt:lpstr>
      <vt:lpstr>'7)Housing Credits'!Print_Area</vt:lpstr>
      <vt:lpstr>Instructions!Print_Area</vt:lpstr>
      <vt:lpstr>MBEetc!Print_Area</vt:lpstr>
      <vt:lpstr>'5)Operating Proforma'!Print_Titles</vt:lpstr>
      <vt:lpstr>Project</vt:lpstr>
      <vt:lpstr>ResSqFt</vt:lpstr>
      <vt:lpstr>TDC</vt:lpstr>
      <vt:lpstr>TotalOperating</vt:lpstr>
      <vt:lpstr>TotalSqFt</vt:lpstr>
      <vt:lpstr>Units</vt:lpstr>
    </vt:vector>
  </TitlesOfParts>
  <Company>Kentucky Housing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Underwriting Model</dc:title>
  <dc:creator>Louisville Metro Govt;Capital Access</dc:creator>
  <cp:lastModifiedBy>Burdick, Stephanie A.</cp:lastModifiedBy>
  <cp:lastPrinted>2014-05-12T17:49:31Z</cp:lastPrinted>
  <dcterms:created xsi:type="dcterms:W3CDTF">1999-05-05T18:07:00Z</dcterms:created>
  <dcterms:modified xsi:type="dcterms:W3CDTF">2024-09-10T17:00:41Z</dcterms:modified>
</cp:coreProperties>
</file>